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mc:AlternateContent xmlns:mc="http://schemas.openxmlformats.org/markup-compatibility/2006">
    <mc:Choice Requires="x15">
      <x15ac:absPath xmlns:x15ac="http://schemas.microsoft.com/office/spreadsheetml/2010/11/ac" url="/Users/elliot/Downloads/"/>
    </mc:Choice>
  </mc:AlternateContent>
  <xr:revisionPtr revIDLastSave="0" documentId="13_ncr:1_{8319927F-B732-4941-B3D5-223D017AE974}" xr6:coauthVersionLast="31" xr6:coauthVersionMax="31" xr10:uidLastSave="{00000000-0000-0000-0000-000000000000}"/>
  <bookViews>
    <workbookView xWindow="9160" yWindow="1080" windowWidth="39540" windowHeight="25440" xr2:uid="{00000000-000D-0000-FFFF-FFFF00000000}"/>
  </bookViews>
  <sheets>
    <sheet name="Version" sheetId="2" r:id="rId1"/>
    <sheet name="Column Definitions" sheetId="3" r:id="rId2"/>
    <sheet name="ICTV 2017 Master Species #32" sheetId="1" r:id="rId3"/>
  </sheets>
  <definedNames>
    <definedName name="_xlnm._FilterDatabase" localSheetId="2" hidden="1">'ICTV 2017 Master Species #32'!$G$1:$G$4854</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2">'ICTV 2017 Master Species #32'!$1:$1</definedName>
  </definedNames>
  <calcPr calcId="179017"/>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7" i="2" l="1"/>
  <c r="K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K2069" i="1"/>
  <c r="K2070" i="1"/>
  <c r="K2071" i="1"/>
  <c r="K2072" i="1"/>
  <c r="K2073" i="1"/>
  <c r="K2074" i="1"/>
  <c r="K2075" i="1"/>
  <c r="K2076" i="1"/>
  <c r="K2077" i="1"/>
  <c r="K2078" i="1"/>
  <c r="K2079" i="1"/>
  <c r="K2080" i="1"/>
  <c r="K2081" i="1"/>
  <c r="K2082" i="1"/>
  <c r="K2083" i="1"/>
  <c r="K2084" i="1"/>
  <c r="K2085" i="1"/>
  <c r="K2086" i="1"/>
  <c r="K2087" i="1"/>
  <c r="K2088" i="1"/>
  <c r="K2089" i="1"/>
  <c r="K2090" i="1"/>
  <c r="K2091" i="1"/>
  <c r="K2092" i="1"/>
  <c r="K2093" i="1"/>
  <c r="K2094" i="1"/>
  <c r="K2095" i="1"/>
  <c r="K2096" i="1"/>
  <c r="K2097" i="1"/>
  <c r="K2098" i="1"/>
  <c r="K2099" i="1"/>
  <c r="K2100" i="1"/>
  <c r="K2101"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2149" i="1"/>
  <c r="K2150" i="1"/>
  <c r="K2151" i="1"/>
  <c r="K2152" i="1"/>
  <c r="K2153" i="1"/>
  <c r="K2154" i="1"/>
  <c r="K2155" i="1"/>
  <c r="K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03" i="1"/>
  <c r="K2204" i="1"/>
  <c r="K2205" i="1"/>
  <c r="K2206" i="1"/>
  <c r="K2207" i="1"/>
  <c r="K2208" i="1"/>
  <c r="K2209" i="1"/>
  <c r="K2210" i="1"/>
  <c r="K2211" i="1"/>
  <c r="K2212" i="1"/>
  <c r="K2213" i="1"/>
  <c r="K2214" i="1"/>
  <c r="K2215" i="1"/>
  <c r="K2216" i="1"/>
  <c r="K2217" i="1"/>
  <c r="K2218" i="1"/>
  <c r="K2219" i="1"/>
  <c r="K2220" i="1"/>
  <c r="K2221" i="1"/>
  <c r="K2222" i="1"/>
  <c r="K2223" i="1"/>
  <c r="K2224" i="1"/>
  <c r="K2225" i="1"/>
  <c r="K2226" i="1"/>
  <c r="K2227" i="1"/>
  <c r="K2228" i="1"/>
  <c r="K2229" i="1"/>
  <c r="K2230" i="1"/>
  <c r="K2231" i="1"/>
  <c r="K2232" i="1"/>
  <c r="K2233" i="1"/>
  <c r="K2234" i="1"/>
  <c r="K2235" i="1"/>
  <c r="K2236" i="1"/>
  <c r="K2237" i="1"/>
  <c r="K2238" i="1"/>
  <c r="K2239" i="1"/>
  <c r="K2240" i="1"/>
  <c r="K2241" i="1"/>
  <c r="K2242" i="1"/>
  <c r="K2243" i="1"/>
  <c r="K2244" i="1"/>
  <c r="K2245" i="1"/>
  <c r="K2246" i="1"/>
  <c r="K2247" i="1"/>
  <c r="K2248" i="1"/>
  <c r="K2249" i="1"/>
  <c r="K2250" i="1"/>
  <c r="K2251" i="1"/>
  <c r="K2252" i="1"/>
  <c r="K2253" i="1"/>
  <c r="K2254" i="1"/>
  <c r="K2255" i="1"/>
  <c r="K2256" i="1"/>
  <c r="K2257" i="1"/>
  <c r="K2258" i="1"/>
  <c r="K2259" i="1"/>
  <c r="K2260" i="1"/>
  <c r="K2261" i="1"/>
  <c r="K2262" i="1"/>
  <c r="K2263" i="1"/>
  <c r="K2264" i="1"/>
  <c r="K2265" i="1"/>
  <c r="K2266" i="1"/>
  <c r="K2267" i="1"/>
  <c r="K2268" i="1"/>
  <c r="K2269" i="1"/>
  <c r="K2270" i="1"/>
  <c r="K2271" i="1"/>
  <c r="K2272" i="1"/>
  <c r="K2273" i="1"/>
  <c r="K2274" i="1"/>
  <c r="K2275" i="1"/>
  <c r="K2276" i="1"/>
  <c r="K2277" i="1"/>
  <c r="K2278" i="1"/>
  <c r="K2279" i="1"/>
  <c r="K2280" i="1"/>
  <c r="K2281" i="1"/>
  <c r="K2282" i="1"/>
  <c r="K2283" i="1"/>
  <c r="K2284" i="1"/>
  <c r="K2285" i="1"/>
  <c r="K2286" i="1"/>
  <c r="K2287" i="1"/>
  <c r="K2288" i="1"/>
  <c r="K2289" i="1"/>
  <c r="K2290" i="1"/>
  <c r="K2291" i="1"/>
  <c r="K2292" i="1"/>
  <c r="K2293" i="1"/>
  <c r="K2294" i="1"/>
  <c r="K2295" i="1"/>
  <c r="K2296" i="1"/>
  <c r="K2297" i="1"/>
  <c r="K2298" i="1"/>
  <c r="K2299" i="1"/>
  <c r="K2300" i="1"/>
  <c r="K2301" i="1"/>
  <c r="K2302" i="1"/>
  <c r="K2303" i="1"/>
  <c r="K2304" i="1"/>
  <c r="K2305" i="1"/>
  <c r="K2306" i="1"/>
  <c r="K2307" i="1"/>
  <c r="K2308" i="1"/>
  <c r="K2309" i="1"/>
  <c r="K2310" i="1"/>
  <c r="K2311" i="1"/>
  <c r="K2312" i="1"/>
  <c r="K2313" i="1"/>
  <c r="K2314" i="1"/>
  <c r="K2315" i="1"/>
  <c r="K2316" i="1"/>
  <c r="K2317" i="1"/>
  <c r="K2318" i="1"/>
  <c r="K2319" i="1"/>
  <c r="K2320" i="1"/>
  <c r="K2321" i="1"/>
  <c r="K2322" i="1"/>
  <c r="K2323" i="1"/>
  <c r="K2324" i="1"/>
  <c r="K2325" i="1"/>
  <c r="K2326" i="1"/>
  <c r="K2327" i="1"/>
  <c r="K2328" i="1"/>
  <c r="K2329" i="1"/>
  <c r="K2330" i="1"/>
  <c r="K2331" i="1"/>
  <c r="K2332" i="1"/>
  <c r="K2333" i="1"/>
  <c r="K2334" i="1"/>
  <c r="K2335" i="1"/>
  <c r="K2336" i="1"/>
  <c r="K2337" i="1"/>
  <c r="K2338" i="1"/>
  <c r="K2339" i="1"/>
  <c r="K2340" i="1"/>
  <c r="K2341" i="1"/>
  <c r="K2342" i="1"/>
  <c r="K2343" i="1"/>
  <c r="K2344" i="1"/>
  <c r="K2345" i="1"/>
  <c r="K2346" i="1"/>
  <c r="K2347" i="1"/>
  <c r="K2348" i="1"/>
  <c r="K2349" i="1"/>
  <c r="K2350" i="1"/>
  <c r="K2351" i="1"/>
  <c r="K2352" i="1"/>
  <c r="K2353" i="1"/>
  <c r="K2354" i="1"/>
  <c r="K2355" i="1"/>
  <c r="K2356" i="1"/>
  <c r="K2357" i="1"/>
  <c r="K2358" i="1"/>
  <c r="K2359" i="1"/>
  <c r="K2360" i="1"/>
  <c r="K2361" i="1"/>
  <c r="K2362" i="1"/>
  <c r="K2363" i="1"/>
  <c r="K2364" i="1"/>
  <c r="K2365" i="1"/>
  <c r="K2366" i="1"/>
  <c r="K2367" i="1"/>
  <c r="K2368" i="1"/>
  <c r="K2369" i="1"/>
  <c r="K2370" i="1"/>
  <c r="K2371" i="1"/>
  <c r="K2372" i="1"/>
  <c r="K2373" i="1"/>
  <c r="K2374" i="1"/>
  <c r="K2375" i="1"/>
  <c r="K2376" i="1"/>
  <c r="K2377" i="1"/>
  <c r="K2378" i="1"/>
  <c r="K2379" i="1"/>
  <c r="K2380" i="1"/>
  <c r="K2381" i="1"/>
  <c r="K2382" i="1"/>
  <c r="K2383" i="1"/>
  <c r="K2384" i="1"/>
  <c r="K2385" i="1"/>
  <c r="K2386" i="1"/>
  <c r="K2387" i="1"/>
  <c r="K2388" i="1"/>
  <c r="K2389" i="1"/>
  <c r="K2390" i="1"/>
  <c r="K2391" i="1"/>
  <c r="K2392" i="1"/>
  <c r="K2393" i="1"/>
  <c r="K2394" i="1"/>
  <c r="K2395" i="1"/>
  <c r="K2396" i="1"/>
  <c r="K2397" i="1"/>
  <c r="K2398" i="1"/>
  <c r="K2399" i="1"/>
  <c r="K2400" i="1"/>
  <c r="K2401" i="1"/>
  <c r="K2402" i="1"/>
  <c r="K2403" i="1"/>
  <c r="K2404" i="1"/>
  <c r="K2405" i="1"/>
  <c r="K2406" i="1"/>
  <c r="K2407" i="1"/>
  <c r="K2408" i="1"/>
  <c r="K2409" i="1"/>
  <c r="K2410" i="1"/>
  <c r="K2411" i="1"/>
  <c r="K2412" i="1"/>
  <c r="K2413" i="1"/>
  <c r="K2414" i="1"/>
  <c r="K2415" i="1"/>
  <c r="K2416" i="1"/>
  <c r="K2417" i="1"/>
  <c r="K2418" i="1"/>
  <c r="K2419" i="1"/>
  <c r="K2420" i="1"/>
  <c r="K2421" i="1"/>
  <c r="K2422" i="1"/>
  <c r="K2423" i="1"/>
  <c r="K2424" i="1"/>
  <c r="K2425" i="1"/>
  <c r="K2426" i="1"/>
  <c r="K2427" i="1"/>
  <c r="K2428" i="1"/>
  <c r="K2429" i="1"/>
  <c r="K2430" i="1"/>
  <c r="K2431" i="1"/>
  <c r="K2432" i="1"/>
  <c r="K2433" i="1"/>
  <c r="K2434" i="1"/>
  <c r="K2435" i="1"/>
  <c r="K2436" i="1"/>
  <c r="K2437" i="1"/>
  <c r="K2438" i="1"/>
  <c r="K2439" i="1"/>
  <c r="K2440" i="1"/>
  <c r="K2441" i="1"/>
  <c r="K2442" i="1"/>
  <c r="K2443" i="1"/>
  <c r="K2444" i="1"/>
  <c r="K2445" i="1"/>
  <c r="K2446" i="1"/>
  <c r="K2447" i="1"/>
  <c r="K2448" i="1"/>
  <c r="K2449" i="1"/>
  <c r="K2450" i="1"/>
  <c r="K2451" i="1"/>
  <c r="K2452" i="1"/>
  <c r="K2453" i="1"/>
  <c r="K2454" i="1"/>
  <c r="K2455" i="1"/>
  <c r="K2456" i="1"/>
  <c r="K2457" i="1"/>
  <c r="K2458" i="1"/>
  <c r="K2459" i="1"/>
  <c r="K2460" i="1"/>
  <c r="K2461" i="1"/>
  <c r="K2462" i="1"/>
  <c r="K2463" i="1"/>
  <c r="K2464" i="1"/>
  <c r="K2465" i="1"/>
  <c r="K2466" i="1"/>
  <c r="K2467" i="1"/>
  <c r="K2468" i="1"/>
  <c r="K2469" i="1"/>
  <c r="K2470" i="1"/>
  <c r="K2471" i="1"/>
  <c r="K2472" i="1"/>
  <c r="K2473" i="1"/>
  <c r="K2474" i="1"/>
  <c r="K2475" i="1"/>
  <c r="K2476" i="1"/>
  <c r="K2477"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504" i="1"/>
  <c r="K2505" i="1"/>
  <c r="K2506" i="1"/>
  <c r="K2507" i="1"/>
  <c r="K2508" i="1"/>
  <c r="K2509" i="1"/>
  <c r="K2510" i="1"/>
  <c r="K2511" i="1"/>
  <c r="K2512" i="1"/>
  <c r="K2513" i="1"/>
  <c r="K2514" i="1"/>
  <c r="K2515" i="1"/>
  <c r="K2516" i="1"/>
  <c r="K2517" i="1"/>
  <c r="K2518" i="1"/>
  <c r="K2519" i="1"/>
  <c r="K2520" i="1"/>
  <c r="K2521" i="1"/>
  <c r="K2522" i="1"/>
  <c r="K2523" i="1"/>
  <c r="K2524" i="1"/>
  <c r="K2525" i="1"/>
  <c r="K2526" i="1"/>
  <c r="K2527" i="1"/>
  <c r="K2528" i="1"/>
  <c r="K2529" i="1"/>
  <c r="K2530" i="1"/>
  <c r="K2531" i="1"/>
  <c r="K2532" i="1"/>
  <c r="K2533" i="1"/>
  <c r="K2534" i="1"/>
  <c r="K2535" i="1"/>
  <c r="K2536" i="1"/>
  <c r="K2537" i="1"/>
  <c r="K2538" i="1"/>
  <c r="K2539" i="1"/>
  <c r="K2540" i="1"/>
  <c r="K2541" i="1"/>
  <c r="K2542" i="1"/>
  <c r="K2543" i="1"/>
  <c r="K2544" i="1"/>
  <c r="K2545" i="1"/>
  <c r="K2546" i="1"/>
  <c r="K2547" i="1"/>
  <c r="K2548" i="1"/>
  <c r="K2549" i="1"/>
  <c r="K2550" i="1"/>
  <c r="K2551" i="1"/>
  <c r="K2552" i="1"/>
  <c r="K2553" i="1"/>
  <c r="K2554" i="1"/>
  <c r="K2555" i="1"/>
  <c r="K2556" i="1"/>
  <c r="K2557" i="1"/>
  <c r="K2558" i="1"/>
  <c r="K2559" i="1"/>
  <c r="K2560" i="1"/>
  <c r="K2561" i="1"/>
  <c r="K2562" i="1"/>
  <c r="K2563" i="1"/>
  <c r="K2564" i="1"/>
  <c r="K2565" i="1"/>
  <c r="K2566" i="1"/>
  <c r="K2567" i="1"/>
  <c r="K2568" i="1"/>
  <c r="K2569" i="1"/>
  <c r="K2570" i="1"/>
  <c r="K2571" i="1"/>
  <c r="K2572" i="1"/>
  <c r="K2573" i="1"/>
  <c r="K2574" i="1"/>
  <c r="K2575" i="1"/>
  <c r="K2576" i="1"/>
  <c r="K2577" i="1"/>
  <c r="K2578" i="1"/>
  <c r="K2579" i="1"/>
  <c r="K2580" i="1"/>
  <c r="K2581" i="1"/>
  <c r="K2582" i="1"/>
  <c r="K2583" i="1"/>
  <c r="K2584" i="1"/>
  <c r="K2585" i="1"/>
  <c r="K2586" i="1"/>
  <c r="K2587" i="1"/>
  <c r="K2588" i="1"/>
  <c r="K2589" i="1"/>
  <c r="K2590" i="1"/>
  <c r="K2591" i="1"/>
  <c r="K2592" i="1"/>
  <c r="K2593" i="1"/>
  <c r="K2594" i="1"/>
  <c r="K2595" i="1"/>
  <c r="K2596" i="1"/>
  <c r="K2597" i="1"/>
  <c r="K2598" i="1"/>
  <c r="K2599" i="1"/>
  <c r="K2600" i="1"/>
  <c r="K2601" i="1"/>
  <c r="K2602" i="1"/>
  <c r="K2603" i="1"/>
  <c r="K2604" i="1"/>
  <c r="K2605" i="1"/>
  <c r="K2606" i="1"/>
  <c r="K2607" i="1"/>
  <c r="K2608" i="1"/>
  <c r="K2609" i="1"/>
  <c r="K2610" i="1"/>
  <c r="K2611" i="1"/>
  <c r="K2612" i="1"/>
  <c r="K2613" i="1"/>
  <c r="K2614" i="1"/>
  <c r="K2615" i="1"/>
  <c r="K2616" i="1"/>
  <c r="K2617" i="1"/>
  <c r="K2618" i="1"/>
  <c r="K2619" i="1"/>
  <c r="K2620" i="1"/>
  <c r="K2621" i="1"/>
  <c r="K2622" i="1"/>
  <c r="K2623" i="1"/>
  <c r="K2624" i="1"/>
  <c r="K2625" i="1"/>
  <c r="K2626" i="1"/>
  <c r="K2627" i="1"/>
  <c r="K2628" i="1"/>
  <c r="K2629" i="1"/>
  <c r="K2630" i="1"/>
  <c r="K2631" i="1"/>
  <c r="K2632" i="1"/>
  <c r="K2633" i="1"/>
  <c r="K2634" i="1"/>
  <c r="K2635" i="1"/>
  <c r="K2636" i="1"/>
  <c r="K2637" i="1"/>
  <c r="K2638" i="1"/>
  <c r="K2639" i="1"/>
  <c r="K2640" i="1"/>
  <c r="K2641" i="1"/>
  <c r="K2642" i="1"/>
  <c r="K2643" i="1"/>
  <c r="K2644" i="1"/>
  <c r="K2645" i="1"/>
  <c r="K2646" i="1"/>
  <c r="K2647" i="1"/>
  <c r="K2648" i="1"/>
  <c r="K2649" i="1"/>
  <c r="K2650" i="1"/>
  <c r="K2651" i="1"/>
  <c r="K2652" i="1"/>
  <c r="K2653" i="1"/>
  <c r="K2654" i="1"/>
  <c r="K2655" i="1"/>
  <c r="K2656" i="1"/>
  <c r="K2657" i="1"/>
  <c r="K2658" i="1"/>
  <c r="K2659" i="1"/>
  <c r="K2660" i="1"/>
  <c r="K2661" i="1"/>
  <c r="K2662" i="1"/>
  <c r="K2663" i="1"/>
  <c r="K2664" i="1"/>
  <c r="K2665" i="1"/>
  <c r="K2666" i="1"/>
  <c r="K2667" i="1"/>
  <c r="K2668" i="1"/>
  <c r="K2669" i="1"/>
  <c r="K2670" i="1"/>
  <c r="K2671" i="1"/>
  <c r="K2672" i="1"/>
  <c r="K2673" i="1"/>
  <c r="K2674" i="1"/>
  <c r="K2675" i="1"/>
  <c r="K2676" i="1"/>
  <c r="K2677" i="1"/>
  <c r="K2678" i="1"/>
  <c r="K2679" i="1"/>
  <c r="K2680" i="1"/>
  <c r="K2681" i="1"/>
  <c r="K2682" i="1"/>
  <c r="K2683" i="1"/>
  <c r="K2684" i="1"/>
  <c r="K2685" i="1"/>
  <c r="K2686" i="1"/>
  <c r="K2687" i="1"/>
  <c r="K2688" i="1"/>
  <c r="K2689" i="1"/>
  <c r="K2690" i="1"/>
  <c r="K2691" i="1"/>
  <c r="K2692" i="1"/>
  <c r="K2693" i="1"/>
  <c r="K2694" i="1"/>
  <c r="K2695" i="1"/>
  <c r="K2696" i="1"/>
  <c r="K2697" i="1"/>
  <c r="K2698" i="1"/>
  <c r="K2699" i="1"/>
  <c r="K2700" i="1"/>
  <c r="K2701" i="1"/>
  <c r="K2702" i="1"/>
  <c r="K2703" i="1"/>
  <c r="K2704" i="1"/>
  <c r="K2705" i="1"/>
  <c r="K2706" i="1"/>
  <c r="K2707" i="1"/>
  <c r="K2708" i="1"/>
  <c r="K2709" i="1"/>
  <c r="K2710" i="1"/>
  <c r="K2711" i="1"/>
  <c r="K2712" i="1"/>
  <c r="K2713" i="1"/>
  <c r="K2714" i="1"/>
  <c r="K2715" i="1"/>
  <c r="K2716" i="1"/>
  <c r="K2717" i="1"/>
  <c r="K2718" i="1"/>
  <c r="K2719" i="1"/>
  <c r="K2720" i="1"/>
  <c r="K2721" i="1"/>
  <c r="K2722" i="1"/>
  <c r="K2723" i="1"/>
  <c r="K2724" i="1"/>
  <c r="K2725" i="1"/>
  <c r="K2726" i="1"/>
  <c r="K2727" i="1"/>
  <c r="K2728" i="1"/>
  <c r="K2729" i="1"/>
  <c r="K2730" i="1"/>
  <c r="K2731" i="1"/>
  <c r="K2732" i="1"/>
  <c r="K2733" i="1"/>
  <c r="K2734" i="1"/>
  <c r="K2735" i="1"/>
  <c r="K2736" i="1"/>
  <c r="K2737" i="1"/>
  <c r="K2738" i="1"/>
  <c r="K2739" i="1"/>
  <c r="K2740" i="1"/>
  <c r="K2741" i="1"/>
  <c r="K2742" i="1"/>
  <c r="K2743" i="1"/>
  <c r="K2744" i="1"/>
  <c r="K2745" i="1"/>
  <c r="K2746" i="1"/>
  <c r="K2747" i="1"/>
  <c r="K2748" i="1"/>
  <c r="K2749" i="1"/>
  <c r="K2750" i="1"/>
  <c r="K2751" i="1"/>
  <c r="K2752" i="1"/>
  <c r="K2753" i="1"/>
  <c r="K2754" i="1"/>
  <c r="K2755" i="1"/>
  <c r="K2756" i="1"/>
  <c r="K2757" i="1"/>
  <c r="K2758" i="1"/>
  <c r="K2759" i="1"/>
  <c r="K2760" i="1"/>
  <c r="K2761" i="1"/>
  <c r="K2762" i="1"/>
  <c r="K2763" i="1"/>
  <c r="K2764" i="1"/>
  <c r="K2765" i="1"/>
  <c r="K2766" i="1"/>
  <c r="K2767" i="1"/>
  <c r="K2768" i="1"/>
  <c r="K2769" i="1"/>
  <c r="K2770" i="1"/>
  <c r="K2771" i="1"/>
  <c r="K2772" i="1"/>
  <c r="K2773" i="1"/>
  <c r="K2774" i="1"/>
  <c r="K2775" i="1"/>
  <c r="K2776" i="1"/>
  <c r="K2777" i="1"/>
  <c r="K2778" i="1"/>
  <c r="K2779" i="1"/>
  <c r="K2780" i="1"/>
  <c r="K2781" i="1"/>
  <c r="K2782" i="1"/>
  <c r="K2783" i="1"/>
  <c r="K2784" i="1"/>
  <c r="K2785" i="1"/>
  <c r="K2786" i="1"/>
  <c r="K2787" i="1"/>
  <c r="K2788" i="1"/>
  <c r="K2789" i="1"/>
  <c r="K2790" i="1"/>
  <c r="K2791" i="1"/>
  <c r="K2792" i="1"/>
  <c r="K2793" i="1"/>
  <c r="K2794" i="1"/>
  <c r="K2795" i="1"/>
  <c r="K2796" i="1"/>
  <c r="K2797" i="1"/>
  <c r="K2798" i="1"/>
  <c r="K2799" i="1"/>
  <c r="K2800" i="1"/>
  <c r="K2801" i="1"/>
  <c r="K2802" i="1"/>
  <c r="K2803" i="1"/>
  <c r="K2804" i="1"/>
  <c r="K2805" i="1"/>
  <c r="K2806" i="1"/>
  <c r="K2807" i="1"/>
  <c r="K2808" i="1"/>
  <c r="K2809" i="1"/>
  <c r="K2810" i="1"/>
  <c r="K2811" i="1"/>
  <c r="K2812" i="1"/>
  <c r="K2813" i="1"/>
  <c r="K2814" i="1"/>
  <c r="K2815" i="1"/>
  <c r="K2816" i="1"/>
  <c r="K2817" i="1"/>
  <c r="K2818" i="1"/>
  <c r="K2819" i="1"/>
  <c r="K2820" i="1"/>
  <c r="K2821" i="1"/>
  <c r="K2822" i="1"/>
  <c r="K2823" i="1"/>
  <c r="K2824" i="1"/>
  <c r="K2825" i="1"/>
  <c r="K2826" i="1"/>
  <c r="K2827" i="1"/>
  <c r="K2828" i="1"/>
  <c r="K2829" i="1"/>
  <c r="K2830" i="1"/>
  <c r="K2831" i="1"/>
  <c r="K2832" i="1"/>
  <c r="K2833" i="1"/>
  <c r="K2834" i="1"/>
  <c r="K2835" i="1"/>
  <c r="K2836" i="1"/>
  <c r="K2837" i="1"/>
  <c r="K2838" i="1"/>
  <c r="K2839" i="1"/>
  <c r="K2840" i="1"/>
  <c r="K2841" i="1"/>
  <c r="K2842" i="1"/>
  <c r="K2843" i="1"/>
  <c r="K2844" i="1"/>
  <c r="K2845" i="1"/>
  <c r="K2846" i="1"/>
  <c r="K2847" i="1"/>
  <c r="K2848" i="1"/>
  <c r="K2849" i="1"/>
  <c r="K2850" i="1"/>
  <c r="K2851" i="1"/>
  <c r="K2852" i="1"/>
  <c r="K2853" i="1"/>
  <c r="K2854" i="1"/>
  <c r="K2855" i="1"/>
  <c r="K2856" i="1"/>
  <c r="K2857" i="1"/>
  <c r="K2858" i="1"/>
  <c r="K2859" i="1"/>
  <c r="K2860" i="1"/>
  <c r="K2861" i="1"/>
  <c r="K2862" i="1"/>
  <c r="K2863" i="1"/>
  <c r="K2864" i="1"/>
  <c r="K2865" i="1"/>
  <c r="K2866" i="1"/>
  <c r="K2867" i="1"/>
  <c r="K2868" i="1"/>
  <c r="K2869" i="1"/>
  <c r="K2870" i="1"/>
  <c r="K2871" i="1"/>
  <c r="K2872" i="1"/>
  <c r="K2873" i="1"/>
  <c r="K2874" i="1"/>
  <c r="K2875" i="1"/>
  <c r="K2876" i="1"/>
  <c r="K2877" i="1"/>
  <c r="K2878" i="1"/>
  <c r="K2879" i="1"/>
  <c r="K2880" i="1"/>
  <c r="K2881" i="1"/>
  <c r="K2882" i="1"/>
  <c r="K2883" i="1"/>
  <c r="K2884" i="1"/>
  <c r="K2885" i="1"/>
  <c r="K2886" i="1"/>
  <c r="K2887" i="1"/>
  <c r="K2888" i="1"/>
  <c r="K2889" i="1"/>
  <c r="K2890" i="1"/>
  <c r="K2891" i="1"/>
  <c r="K2892" i="1"/>
  <c r="K2893" i="1"/>
  <c r="K2894" i="1"/>
  <c r="K2895" i="1"/>
  <c r="K2896" i="1"/>
  <c r="K2897" i="1"/>
  <c r="K2898" i="1"/>
  <c r="K2899" i="1"/>
  <c r="K2900" i="1"/>
  <c r="K2901" i="1"/>
  <c r="K2902" i="1"/>
  <c r="K2903" i="1"/>
  <c r="K2904" i="1"/>
  <c r="K2905" i="1"/>
  <c r="K2906" i="1"/>
  <c r="K2907" i="1"/>
  <c r="K2908" i="1"/>
  <c r="K2909" i="1"/>
  <c r="K2910" i="1"/>
  <c r="K2911" i="1"/>
  <c r="K2912" i="1"/>
  <c r="K2913" i="1"/>
  <c r="K2914" i="1"/>
  <c r="K2915" i="1"/>
  <c r="K2916" i="1"/>
  <c r="K2917" i="1"/>
  <c r="K2918" i="1"/>
  <c r="K2919" i="1"/>
  <c r="K2920" i="1"/>
  <c r="K2921" i="1"/>
  <c r="K2922" i="1"/>
  <c r="K2923" i="1"/>
  <c r="K2924" i="1"/>
  <c r="K2925" i="1"/>
  <c r="K2926" i="1"/>
  <c r="K2927" i="1"/>
  <c r="K2928" i="1"/>
  <c r="K2929" i="1"/>
  <c r="K2930" i="1"/>
  <c r="K2931" i="1"/>
  <c r="K2932" i="1"/>
  <c r="K2933" i="1"/>
  <c r="K2934" i="1"/>
  <c r="K2935" i="1"/>
  <c r="K2936" i="1"/>
  <c r="K2937" i="1"/>
  <c r="K2938" i="1"/>
  <c r="K2939" i="1"/>
  <c r="K2940" i="1"/>
  <c r="K2941" i="1"/>
  <c r="K2942" i="1"/>
  <c r="K2943" i="1"/>
  <c r="K2944" i="1"/>
  <c r="K2945" i="1"/>
  <c r="K2946" i="1"/>
  <c r="K2947" i="1"/>
  <c r="K2948" i="1"/>
  <c r="K2949" i="1"/>
  <c r="K2950" i="1"/>
  <c r="K2951" i="1"/>
  <c r="K2952" i="1"/>
  <c r="K2953" i="1"/>
  <c r="K2954" i="1"/>
  <c r="K2955" i="1"/>
  <c r="K2956" i="1"/>
  <c r="K2957" i="1"/>
  <c r="K2958" i="1"/>
  <c r="K2959" i="1"/>
  <c r="K2960" i="1"/>
  <c r="K2961" i="1"/>
  <c r="K2962" i="1"/>
  <c r="K2963" i="1"/>
  <c r="K2964" i="1"/>
  <c r="K2965" i="1"/>
  <c r="K2966" i="1"/>
  <c r="K2967" i="1"/>
  <c r="K2968" i="1"/>
  <c r="K2969" i="1"/>
  <c r="K2970" i="1"/>
  <c r="K2971" i="1"/>
  <c r="K2972" i="1"/>
  <c r="K2973" i="1"/>
  <c r="K2974" i="1"/>
  <c r="K2975" i="1"/>
  <c r="K2976" i="1"/>
  <c r="K2977" i="1"/>
  <c r="K2978" i="1"/>
  <c r="K2979" i="1"/>
  <c r="K2980" i="1"/>
  <c r="K2981" i="1"/>
  <c r="K2982" i="1"/>
  <c r="K2983" i="1"/>
  <c r="K2984" i="1"/>
  <c r="K2985" i="1"/>
  <c r="K2986" i="1"/>
  <c r="K2987" i="1"/>
  <c r="K2988" i="1"/>
  <c r="K2989" i="1"/>
  <c r="K2990" i="1"/>
  <c r="K2991" i="1"/>
  <c r="K2992" i="1"/>
  <c r="K2993" i="1"/>
  <c r="K2994" i="1"/>
  <c r="K2995" i="1"/>
  <c r="K2996" i="1"/>
  <c r="K2997" i="1"/>
  <c r="K2998" i="1"/>
  <c r="K2999" i="1"/>
  <c r="K3000" i="1"/>
  <c r="K3001" i="1"/>
  <c r="K3002" i="1"/>
  <c r="K3003" i="1"/>
  <c r="K3004" i="1"/>
  <c r="K3005" i="1"/>
  <c r="K3006" i="1"/>
  <c r="K3007" i="1"/>
  <c r="K3008" i="1"/>
  <c r="K3009" i="1"/>
  <c r="K3010" i="1"/>
  <c r="K3011" i="1"/>
  <c r="K3012" i="1"/>
  <c r="K3013" i="1"/>
  <c r="K3014" i="1"/>
  <c r="K3015" i="1"/>
  <c r="K3016" i="1"/>
  <c r="K3017" i="1"/>
  <c r="K3018" i="1"/>
  <c r="K3019" i="1"/>
  <c r="K3020" i="1"/>
  <c r="K3021" i="1"/>
  <c r="K3022" i="1"/>
  <c r="K3023" i="1"/>
  <c r="K3024" i="1"/>
  <c r="K3025" i="1"/>
  <c r="K3026" i="1"/>
  <c r="K3027" i="1"/>
  <c r="K3028" i="1"/>
  <c r="K3029" i="1"/>
  <c r="K3030" i="1"/>
  <c r="K3031" i="1"/>
  <c r="K3032" i="1"/>
  <c r="K3033" i="1"/>
  <c r="K3034" i="1"/>
  <c r="K3035" i="1"/>
  <c r="K3036" i="1"/>
  <c r="K3037" i="1"/>
  <c r="K3038" i="1"/>
  <c r="K3039" i="1"/>
  <c r="K3040" i="1"/>
  <c r="K3041" i="1"/>
  <c r="K3042" i="1"/>
  <c r="K3043" i="1"/>
  <c r="K3044" i="1"/>
  <c r="K3045" i="1"/>
  <c r="K3046" i="1"/>
  <c r="K3047" i="1"/>
  <c r="K3048" i="1"/>
  <c r="K3049" i="1"/>
  <c r="K3050" i="1"/>
  <c r="K3051" i="1"/>
  <c r="K3052" i="1"/>
  <c r="K3053" i="1"/>
  <c r="K3054" i="1"/>
  <c r="K3055" i="1"/>
  <c r="K3056" i="1"/>
  <c r="K3057" i="1"/>
  <c r="K3058" i="1"/>
  <c r="K3059" i="1"/>
  <c r="K3060" i="1"/>
  <c r="K3061" i="1"/>
  <c r="K3062" i="1"/>
  <c r="K3063" i="1"/>
  <c r="K3064" i="1"/>
  <c r="K3065" i="1"/>
  <c r="K3066" i="1"/>
  <c r="K3067" i="1"/>
  <c r="K3068" i="1"/>
  <c r="K3069" i="1"/>
  <c r="K3070" i="1"/>
  <c r="K3071" i="1"/>
  <c r="K3072" i="1"/>
  <c r="K3073" i="1"/>
  <c r="K3074" i="1"/>
  <c r="K3075" i="1"/>
  <c r="K3076" i="1"/>
  <c r="K3077" i="1"/>
  <c r="K3078" i="1"/>
  <c r="K3079" i="1"/>
  <c r="K3080" i="1"/>
  <c r="K3081" i="1"/>
  <c r="K3082" i="1"/>
  <c r="K3083" i="1"/>
  <c r="K3084" i="1"/>
  <c r="K3085" i="1"/>
  <c r="K3086" i="1"/>
  <c r="K3087" i="1"/>
  <c r="K3088" i="1"/>
  <c r="K3089" i="1"/>
  <c r="K3090" i="1"/>
  <c r="K3091" i="1"/>
  <c r="K3092" i="1"/>
  <c r="K3093" i="1"/>
  <c r="K3094" i="1"/>
  <c r="K3095" i="1"/>
  <c r="K3096" i="1"/>
  <c r="K3097" i="1"/>
  <c r="K3098" i="1"/>
  <c r="K3099" i="1"/>
  <c r="K3100" i="1"/>
  <c r="K3101" i="1"/>
  <c r="K3102" i="1"/>
  <c r="K3103" i="1"/>
  <c r="K3104" i="1"/>
  <c r="K3105" i="1"/>
  <c r="K3106" i="1"/>
  <c r="K3107" i="1"/>
  <c r="K3108" i="1"/>
  <c r="K3109" i="1"/>
  <c r="K3110" i="1"/>
  <c r="K3111" i="1"/>
  <c r="K3112" i="1"/>
  <c r="K3113" i="1"/>
  <c r="K3114" i="1"/>
  <c r="K3115" i="1"/>
  <c r="K3116" i="1"/>
  <c r="K3117" i="1"/>
  <c r="K3118" i="1"/>
  <c r="K3119" i="1"/>
  <c r="K3120" i="1"/>
  <c r="K3121" i="1"/>
  <c r="K3122" i="1"/>
  <c r="K3123" i="1"/>
  <c r="K3124" i="1"/>
  <c r="K3125" i="1"/>
  <c r="K3126" i="1"/>
  <c r="K3127" i="1"/>
  <c r="K3128" i="1"/>
  <c r="K3129" i="1"/>
  <c r="K3130" i="1"/>
  <c r="K3131" i="1"/>
  <c r="K3132" i="1"/>
  <c r="K3133" i="1"/>
  <c r="K3134" i="1"/>
  <c r="K3135" i="1"/>
  <c r="K3136" i="1"/>
  <c r="K3137" i="1"/>
  <c r="K3138" i="1"/>
  <c r="K3139" i="1"/>
  <c r="K3140" i="1"/>
  <c r="K3141" i="1"/>
  <c r="K3142" i="1"/>
  <c r="K3143" i="1"/>
  <c r="K3144" i="1"/>
  <c r="K3145" i="1"/>
  <c r="K3146" i="1"/>
  <c r="K3147" i="1"/>
  <c r="K3148" i="1"/>
  <c r="K3149" i="1"/>
  <c r="K3150" i="1"/>
  <c r="K3151" i="1"/>
  <c r="K3152" i="1"/>
  <c r="K3153" i="1"/>
  <c r="K3154" i="1"/>
  <c r="K3155" i="1"/>
  <c r="K3156" i="1"/>
  <c r="K3157" i="1"/>
  <c r="K3158" i="1"/>
  <c r="K3159" i="1"/>
  <c r="K3160" i="1"/>
  <c r="K3161" i="1"/>
  <c r="K3162" i="1"/>
  <c r="K3163" i="1"/>
  <c r="K3164" i="1"/>
  <c r="K3165" i="1"/>
  <c r="K3166" i="1"/>
  <c r="K3167" i="1"/>
  <c r="K3168" i="1"/>
  <c r="K3169" i="1"/>
  <c r="K3170" i="1"/>
  <c r="K3171" i="1"/>
  <c r="K3172" i="1"/>
  <c r="K3173" i="1"/>
  <c r="K3174" i="1"/>
  <c r="K3175" i="1"/>
  <c r="K3176" i="1"/>
  <c r="K3177" i="1"/>
  <c r="K3178" i="1"/>
  <c r="K3179" i="1"/>
  <c r="K3180" i="1"/>
  <c r="K3181" i="1"/>
  <c r="K3182" i="1"/>
  <c r="K3183" i="1"/>
  <c r="K3184" i="1"/>
  <c r="K3185" i="1"/>
  <c r="K3186" i="1"/>
  <c r="K3187" i="1"/>
  <c r="K3188" i="1"/>
  <c r="K3189" i="1"/>
  <c r="K3190" i="1"/>
  <c r="K3191" i="1"/>
  <c r="K3192" i="1"/>
  <c r="K3193" i="1"/>
  <c r="K3194" i="1"/>
  <c r="K3195" i="1"/>
  <c r="K3196" i="1"/>
  <c r="K3197" i="1"/>
  <c r="K3198" i="1"/>
  <c r="K3199" i="1"/>
  <c r="K3200" i="1"/>
  <c r="K3201" i="1"/>
  <c r="K3202" i="1"/>
  <c r="K3203" i="1"/>
  <c r="K3204" i="1"/>
  <c r="K3205" i="1"/>
  <c r="K3206" i="1"/>
  <c r="K3207" i="1"/>
  <c r="K3208" i="1"/>
  <c r="K3209" i="1"/>
  <c r="K3210" i="1"/>
  <c r="K3211" i="1"/>
  <c r="K3212" i="1"/>
  <c r="K3213" i="1"/>
  <c r="K3214" i="1"/>
  <c r="K3215" i="1"/>
  <c r="K3216" i="1"/>
  <c r="K3217" i="1"/>
  <c r="K3218" i="1"/>
  <c r="K3219" i="1"/>
  <c r="K3220" i="1"/>
  <c r="K3221" i="1"/>
  <c r="K3222" i="1"/>
  <c r="K3223" i="1"/>
  <c r="K3224" i="1"/>
  <c r="K3225" i="1"/>
  <c r="K3226" i="1"/>
  <c r="K3227" i="1"/>
  <c r="K3228" i="1"/>
  <c r="K3229" i="1"/>
  <c r="K3230" i="1"/>
  <c r="K3231" i="1"/>
  <c r="K3232" i="1"/>
  <c r="K3233" i="1"/>
  <c r="K3234" i="1"/>
  <c r="K3235" i="1"/>
  <c r="K3236" i="1"/>
  <c r="K3237" i="1"/>
  <c r="K3238" i="1"/>
  <c r="K3239" i="1"/>
  <c r="K3240" i="1"/>
  <c r="K3241" i="1"/>
  <c r="K3242" i="1"/>
  <c r="K3243" i="1"/>
  <c r="K3244" i="1"/>
  <c r="K3245" i="1"/>
  <c r="K3246" i="1"/>
  <c r="K3247" i="1"/>
  <c r="K3248" i="1"/>
  <c r="K3249" i="1"/>
  <c r="K3250" i="1"/>
  <c r="K3251" i="1"/>
  <c r="K3252" i="1"/>
  <c r="K3253" i="1"/>
  <c r="K3254" i="1"/>
  <c r="K3255" i="1"/>
  <c r="K3256" i="1"/>
  <c r="K3257" i="1"/>
  <c r="K3258" i="1"/>
  <c r="K3259" i="1"/>
  <c r="K3260" i="1"/>
  <c r="K3261" i="1"/>
  <c r="K3262" i="1"/>
  <c r="K3263" i="1"/>
  <c r="K3264" i="1"/>
  <c r="K3265" i="1"/>
  <c r="K3266" i="1"/>
  <c r="K3267" i="1"/>
  <c r="K3268" i="1"/>
  <c r="K3269" i="1"/>
  <c r="K3270" i="1"/>
  <c r="K3271" i="1"/>
  <c r="K3272" i="1"/>
  <c r="K3273" i="1"/>
  <c r="K3274" i="1"/>
  <c r="K3275" i="1"/>
  <c r="K3276" i="1"/>
  <c r="K3277" i="1"/>
  <c r="K3278" i="1"/>
  <c r="K3279" i="1"/>
  <c r="K3280" i="1"/>
  <c r="K3281" i="1"/>
  <c r="K3282" i="1"/>
  <c r="K3283" i="1"/>
  <c r="K3284" i="1"/>
  <c r="K3285" i="1"/>
  <c r="K3286" i="1"/>
  <c r="K3287" i="1"/>
  <c r="K3288" i="1"/>
  <c r="K3289" i="1"/>
  <c r="K3290" i="1"/>
  <c r="K3291" i="1"/>
  <c r="K3292" i="1"/>
  <c r="K3293" i="1"/>
  <c r="K3294" i="1"/>
  <c r="K3295" i="1"/>
  <c r="K3296" i="1"/>
  <c r="K3297" i="1"/>
  <c r="K3298" i="1"/>
  <c r="K3299" i="1"/>
  <c r="K3300" i="1"/>
  <c r="K3301" i="1"/>
  <c r="K3302" i="1"/>
  <c r="K3303" i="1"/>
  <c r="K3304" i="1"/>
  <c r="K3305" i="1"/>
  <c r="K3306" i="1"/>
  <c r="K3307" i="1"/>
  <c r="K3308" i="1"/>
  <c r="K3309" i="1"/>
  <c r="K3310" i="1"/>
  <c r="K3311" i="1"/>
  <c r="K3312" i="1"/>
  <c r="K3313" i="1"/>
  <c r="K3314" i="1"/>
  <c r="K3315" i="1"/>
  <c r="K3316" i="1"/>
  <c r="K3317" i="1"/>
  <c r="K3318" i="1"/>
  <c r="K3319" i="1"/>
  <c r="K3320" i="1"/>
  <c r="K3321" i="1"/>
  <c r="K3322" i="1"/>
  <c r="K3323" i="1"/>
  <c r="K3324" i="1"/>
  <c r="K3325" i="1"/>
  <c r="K3326" i="1"/>
  <c r="K3327" i="1"/>
  <c r="K3328" i="1"/>
  <c r="K3329" i="1"/>
  <c r="K3330" i="1"/>
  <c r="K3331" i="1"/>
  <c r="K3332" i="1"/>
  <c r="K3333" i="1"/>
  <c r="K3334" i="1"/>
  <c r="K3335" i="1"/>
  <c r="K3336" i="1"/>
  <c r="K3337" i="1"/>
  <c r="K3338" i="1"/>
  <c r="K3339" i="1"/>
  <c r="K3340" i="1"/>
  <c r="K3341" i="1"/>
  <c r="K3342" i="1"/>
  <c r="K3343" i="1"/>
  <c r="K3344" i="1"/>
  <c r="K3345" i="1"/>
  <c r="K3346" i="1"/>
  <c r="K3347" i="1"/>
  <c r="K3348" i="1"/>
  <c r="K3349" i="1"/>
  <c r="K3350" i="1"/>
  <c r="K3351" i="1"/>
  <c r="K3352" i="1"/>
  <c r="K3353" i="1"/>
  <c r="K3354" i="1"/>
  <c r="K3355" i="1"/>
  <c r="K3356" i="1"/>
  <c r="K3357" i="1"/>
  <c r="K3358" i="1"/>
  <c r="K3359" i="1"/>
  <c r="K3360" i="1"/>
  <c r="K3361" i="1"/>
  <c r="K3362" i="1"/>
  <c r="K3363" i="1"/>
  <c r="K3364" i="1"/>
  <c r="K3365" i="1"/>
  <c r="K3366" i="1"/>
  <c r="K3367" i="1"/>
  <c r="K3368" i="1"/>
  <c r="K3369" i="1"/>
  <c r="K3370" i="1"/>
  <c r="K3371" i="1"/>
  <c r="K3372" i="1"/>
  <c r="K3373" i="1"/>
  <c r="K3374" i="1"/>
  <c r="K3375" i="1"/>
  <c r="K3376" i="1"/>
  <c r="K3377" i="1"/>
  <c r="K3378" i="1"/>
  <c r="K3379" i="1"/>
  <c r="K3380" i="1"/>
  <c r="K3381" i="1"/>
  <c r="K3382" i="1"/>
  <c r="K3383" i="1"/>
  <c r="K3384" i="1"/>
  <c r="K3385" i="1"/>
  <c r="K3386" i="1"/>
  <c r="K3387" i="1"/>
  <c r="K3388" i="1"/>
  <c r="K3389" i="1"/>
  <c r="K3390" i="1"/>
  <c r="K3391" i="1"/>
  <c r="K3392" i="1"/>
  <c r="K3393" i="1"/>
  <c r="K3394" i="1"/>
  <c r="K3395" i="1"/>
  <c r="K3396" i="1"/>
  <c r="K3397" i="1"/>
  <c r="K3398" i="1"/>
  <c r="K3399" i="1"/>
  <c r="K3400" i="1"/>
  <c r="K3401" i="1"/>
  <c r="K3402" i="1"/>
  <c r="K3403" i="1"/>
  <c r="K3404" i="1"/>
  <c r="K3405" i="1"/>
  <c r="K3406" i="1"/>
  <c r="K3407" i="1"/>
  <c r="K3408" i="1"/>
  <c r="K3409" i="1"/>
  <c r="K3410" i="1"/>
  <c r="K3411" i="1"/>
  <c r="K3412" i="1"/>
  <c r="K3413" i="1"/>
  <c r="K3414" i="1"/>
  <c r="K3415" i="1"/>
  <c r="K3416" i="1"/>
  <c r="K3417" i="1"/>
  <c r="K3418" i="1"/>
  <c r="K3419" i="1"/>
  <c r="K3420" i="1"/>
  <c r="K3421" i="1"/>
  <c r="K3422" i="1"/>
  <c r="K3423" i="1"/>
  <c r="K3424" i="1"/>
  <c r="K3425" i="1"/>
  <c r="K3426" i="1"/>
  <c r="K3427" i="1"/>
  <c r="K3428" i="1"/>
  <c r="K3429" i="1"/>
  <c r="K3430" i="1"/>
  <c r="K3431" i="1"/>
  <c r="K3432" i="1"/>
  <c r="K3433" i="1"/>
  <c r="K3434" i="1"/>
  <c r="K3435" i="1"/>
  <c r="K3436" i="1"/>
  <c r="K3437" i="1"/>
  <c r="K3438" i="1"/>
  <c r="K3439" i="1"/>
  <c r="K3440" i="1"/>
  <c r="K3441" i="1"/>
  <c r="K3442" i="1"/>
  <c r="K3443" i="1"/>
  <c r="K3444" i="1"/>
  <c r="K3445" i="1"/>
  <c r="K3446" i="1"/>
  <c r="K3447" i="1"/>
  <c r="K3448" i="1"/>
  <c r="K3449" i="1"/>
  <c r="K3450" i="1"/>
  <c r="K3451" i="1"/>
  <c r="K3452" i="1"/>
  <c r="K3453" i="1"/>
  <c r="K3454" i="1"/>
  <c r="K3455" i="1"/>
  <c r="K3456" i="1"/>
  <c r="K3457" i="1"/>
  <c r="K3458" i="1"/>
  <c r="K3459" i="1"/>
  <c r="K3460" i="1"/>
  <c r="K3461" i="1"/>
  <c r="K3462" i="1"/>
  <c r="K3463" i="1"/>
  <c r="K3464" i="1"/>
  <c r="K3465" i="1"/>
  <c r="K3466" i="1"/>
  <c r="K3467" i="1"/>
  <c r="K3468" i="1"/>
  <c r="K3469" i="1"/>
  <c r="K3470" i="1"/>
  <c r="K3471" i="1"/>
  <c r="K3472" i="1"/>
  <c r="K3473" i="1"/>
  <c r="K3474" i="1"/>
  <c r="K3475" i="1"/>
  <c r="K3476" i="1"/>
  <c r="K3477" i="1"/>
  <c r="K3478" i="1"/>
  <c r="K3479" i="1"/>
  <c r="K3480" i="1"/>
  <c r="K3481" i="1"/>
  <c r="K3482" i="1"/>
  <c r="K3483" i="1"/>
  <c r="K3484" i="1"/>
  <c r="K3485" i="1"/>
  <c r="K3486" i="1"/>
  <c r="K3487" i="1"/>
  <c r="K3488" i="1"/>
  <c r="K3489" i="1"/>
  <c r="K3490" i="1"/>
  <c r="K3491" i="1"/>
  <c r="K3492" i="1"/>
  <c r="K3493" i="1"/>
  <c r="K3494" i="1"/>
  <c r="K3495" i="1"/>
  <c r="K3496" i="1"/>
  <c r="K3497" i="1"/>
  <c r="K3498" i="1"/>
  <c r="K3499" i="1"/>
  <c r="K3500" i="1"/>
  <c r="K3501" i="1"/>
  <c r="K3502" i="1"/>
  <c r="K3503" i="1"/>
  <c r="K3504" i="1"/>
  <c r="K3505" i="1"/>
  <c r="K3506" i="1"/>
  <c r="K3507" i="1"/>
  <c r="K3508" i="1"/>
  <c r="K3509" i="1"/>
  <c r="K3510" i="1"/>
  <c r="K3511" i="1"/>
  <c r="K3512" i="1"/>
  <c r="K3513" i="1"/>
  <c r="K3514" i="1"/>
  <c r="K3515" i="1"/>
  <c r="K3516" i="1"/>
  <c r="K3517" i="1"/>
  <c r="K3518" i="1"/>
  <c r="K3519" i="1"/>
  <c r="K3520" i="1"/>
  <c r="K3521" i="1"/>
  <c r="K3522" i="1"/>
  <c r="K3523" i="1"/>
  <c r="K3524" i="1"/>
  <c r="K3525" i="1"/>
  <c r="K3526" i="1"/>
  <c r="K3527" i="1"/>
  <c r="K3528" i="1"/>
  <c r="K3529" i="1"/>
  <c r="K3530" i="1"/>
  <c r="K3531" i="1"/>
  <c r="K3532" i="1"/>
  <c r="K3533" i="1"/>
  <c r="K3534" i="1"/>
  <c r="K3535" i="1"/>
  <c r="K3536" i="1"/>
  <c r="K3537" i="1"/>
  <c r="K3538" i="1"/>
  <c r="K3539" i="1"/>
  <c r="K3540" i="1"/>
  <c r="K3541" i="1"/>
  <c r="K3542" i="1"/>
  <c r="K3543" i="1"/>
  <c r="K3544" i="1"/>
  <c r="K3545" i="1"/>
  <c r="K3546" i="1"/>
  <c r="K3547" i="1"/>
  <c r="K3548" i="1"/>
  <c r="K3549" i="1"/>
  <c r="K3550" i="1"/>
  <c r="K3551" i="1"/>
  <c r="K3552" i="1"/>
  <c r="K3553" i="1"/>
  <c r="K3554" i="1"/>
  <c r="K3555" i="1"/>
  <c r="K3556" i="1"/>
  <c r="K3557" i="1"/>
  <c r="K3558" i="1"/>
  <c r="K3559" i="1"/>
  <c r="K3560" i="1"/>
  <c r="K3561" i="1"/>
  <c r="K3562" i="1"/>
  <c r="K3563" i="1"/>
  <c r="K3564" i="1"/>
  <c r="K3565" i="1"/>
  <c r="K3566" i="1"/>
  <c r="K3567" i="1"/>
  <c r="K3568" i="1"/>
  <c r="K3569" i="1"/>
  <c r="K3570" i="1"/>
  <c r="K3571" i="1"/>
  <c r="K3572" i="1"/>
  <c r="K3573" i="1"/>
  <c r="K3574" i="1"/>
  <c r="K3575" i="1"/>
  <c r="K3576" i="1"/>
  <c r="K3577" i="1"/>
  <c r="K3578" i="1"/>
  <c r="K3579" i="1"/>
  <c r="K3580" i="1"/>
  <c r="K3581" i="1"/>
  <c r="K3582" i="1"/>
  <c r="K3583" i="1"/>
  <c r="K3584" i="1"/>
  <c r="K3585" i="1"/>
  <c r="K3586" i="1"/>
  <c r="K3587" i="1"/>
  <c r="K3588" i="1"/>
  <c r="K3589" i="1"/>
  <c r="K3590" i="1"/>
  <c r="K3591" i="1"/>
  <c r="K3592" i="1"/>
  <c r="K3593" i="1"/>
  <c r="K3594" i="1"/>
  <c r="K3595" i="1"/>
  <c r="K3596" i="1"/>
  <c r="K3597" i="1"/>
  <c r="K3598" i="1"/>
  <c r="K3599" i="1"/>
  <c r="K3600" i="1"/>
  <c r="K3601" i="1"/>
  <c r="K3602" i="1"/>
  <c r="K3603" i="1"/>
  <c r="K3604" i="1"/>
  <c r="K3605" i="1"/>
  <c r="K3606" i="1"/>
  <c r="K3607" i="1"/>
  <c r="K3608" i="1"/>
  <c r="K3609" i="1"/>
  <c r="K3610" i="1"/>
  <c r="K3611" i="1"/>
  <c r="K3612" i="1"/>
  <c r="K3613" i="1"/>
  <c r="K3614" i="1"/>
  <c r="K3615" i="1"/>
  <c r="K3616" i="1"/>
  <c r="K3617" i="1"/>
  <c r="K3618" i="1"/>
  <c r="K3619" i="1"/>
  <c r="K3620" i="1"/>
  <c r="K3621" i="1"/>
  <c r="K3622" i="1"/>
  <c r="K3623" i="1"/>
  <c r="K3624" i="1"/>
  <c r="K3625" i="1"/>
  <c r="K3626" i="1"/>
  <c r="K3627" i="1"/>
  <c r="K3628" i="1"/>
  <c r="K3629" i="1"/>
  <c r="K3630" i="1"/>
  <c r="K3631" i="1"/>
  <c r="K3632" i="1"/>
  <c r="K3633" i="1"/>
  <c r="K3634" i="1"/>
  <c r="K3635" i="1"/>
  <c r="K3636" i="1"/>
  <c r="K3637" i="1"/>
  <c r="K3638" i="1"/>
  <c r="K3639" i="1"/>
  <c r="K3640" i="1"/>
  <c r="K3641" i="1"/>
  <c r="K3642" i="1"/>
  <c r="K3643" i="1"/>
  <c r="K3644" i="1"/>
  <c r="K3645" i="1"/>
  <c r="K3646" i="1"/>
  <c r="K3647" i="1"/>
  <c r="K3648" i="1"/>
  <c r="K3649" i="1"/>
  <c r="K3650" i="1"/>
  <c r="K3651" i="1"/>
  <c r="K3652" i="1"/>
  <c r="K3653" i="1"/>
  <c r="K3654" i="1"/>
  <c r="K3655" i="1"/>
  <c r="K3656" i="1"/>
  <c r="K3657" i="1"/>
  <c r="K3658" i="1"/>
  <c r="K3659" i="1"/>
  <c r="K3660" i="1"/>
  <c r="K3661" i="1"/>
  <c r="K3662" i="1"/>
  <c r="K3663" i="1"/>
  <c r="K3664" i="1"/>
  <c r="K3665" i="1"/>
  <c r="K3666" i="1"/>
  <c r="K3667" i="1"/>
  <c r="K3668" i="1"/>
  <c r="K3669" i="1"/>
  <c r="K3670" i="1"/>
  <c r="K3671" i="1"/>
  <c r="K3672" i="1"/>
  <c r="K3673" i="1"/>
  <c r="K3674" i="1"/>
  <c r="K3675" i="1"/>
  <c r="K3676" i="1"/>
  <c r="K3677" i="1"/>
  <c r="K3678" i="1"/>
  <c r="K3679" i="1"/>
  <c r="K3680" i="1"/>
  <c r="K3681" i="1"/>
  <c r="K3682" i="1"/>
  <c r="K3683" i="1"/>
  <c r="K3684" i="1"/>
  <c r="K3685" i="1"/>
  <c r="K3686" i="1"/>
  <c r="K3687" i="1"/>
  <c r="K3688" i="1"/>
  <c r="K3689" i="1"/>
  <c r="K3690" i="1"/>
  <c r="K3691" i="1"/>
  <c r="K3692" i="1"/>
  <c r="K3693" i="1"/>
  <c r="K3694" i="1"/>
  <c r="K3695" i="1"/>
  <c r="K3696" i="1"/>
  <c r="K3697" i="1"/>
  <c r="K3698" i="1"/>
  <c r="K3699" i="1"/>
  <c r="K3700" i="1"/>
  <c r="K3701" i="1"/>
  <c r="K3702" i="1"/>
  <c r="K3703" i="1"/>
  <c r="K3704" i="1"/>
  <c r="K3705" i="1"/>
  <c r="K3706" i="1"/>
  <c r="K3707" i="1"/>
  <c r="K3708" i="1"/>
  <c r="K3709" i="1"/>
  <c r="K3710" i="1"/>
  <c r="K3711" i="1"/>
  <c r="K3712" i="1"/>
  <c r="K3713" i="1"/>
  <c r="K3714" i="1"/>
  <c r="K3715" i="1"/>
  <c r="K3716" i="1"/>
  <c r="K3717" i="1"/>
  <c r="K3718" i="1"/>
  <c r="K3719" i="1"/>
  <c r="K3720" i="1"/>
  <c r="K3721" i="1"/>
  <c r="K3722" i="1"/>
  <c r="K3723" i="1"/>
  <c r="K3724" i="1"/>
  <c r="K3725" i="1"/>
  <c r="K3726" i="1"/>
  <c r="K3727" i="1"/>
  <c r="K3728" i="1"/>
  <c r="K3729" i="1"/>
  <c r="K3730" i="1"/>
  <c r="K3731" i="1"/>
  <c r="K3732" i="1"/>
  <c r="K3733" i="1"/>
  <c r="K3734" i="1"/>
  <c r="K3735" i="1"/>
  <c r="K3736" i="1"/>
  <c r="K3737" i="1"/>
  <c r="K3738" i="1"/>
  <c r="K3739" i="1"/>
  <c r="K3740" i="1"/>
  <c r="K3741" i="1"/>
  <c r="K3742" i="1"/>
  <c r="K3743" i="1"/>
  <c r="K3744" i="1"/>
  <c r="K3745" i="1"/>
  <c r="K3746" i="1"/>
  <c r="K3747" i="1"/>
  <c r="K3748" i="1"/>
  <c r="K3749" i="1"/>
  <c r="K3750" i="1"/>
  <c r="K3751" i="1"/>
  <c r="K3752" i="1"/>
  <c r="K3753" i="1"/>
  <c r="K3754" i="1"/>
  <c r="K3755" i="1"/>
  <c r="K3756" i="1"/>
  <c r="K3757" i="1"/>
  <c r="K3758" i="1"/>
  <c r="K3759" i="1"/>
  <c r="K3760" i="1"/>
  <c r="K3761" i="1"/>
  <c r="K3762" i="1"/>
  <c r="K3763" i="1"/>
  <c r="K3764" i="1"/>
  <c r="K3765" i="1"/>
  <c r="K3766" i="1"/>
  <c r="K3767" i="1"/>
  <c r="K3768" i="1"/>
  <c r="K3769" i="1"/>
  <c r="K3770" i="1"/>
  <c r="K3771" i="1"/>
  <c r="K3772" i="1"/>
  <c r="K3773" i="1"/>
  <c r="K3774" i="1"/>
  <c r="K3775" i="1"/>
  <c r="K3776" i="1"/>
  <c r="K3777" i="1"/>
  <c r="K3778" i="1"/>
  <c r="K3779" i="1"/>
  <c r="K3780" i="1"/>
  <c r="K3781" i="1"/>
  <c r="K3782" i="1"/>
  <c r="K3783" i="1"/>
  <c r="K3784" i="1"/>
  <c r="K3785" i="1"/>
  <c r="K3786" i="1"/>
  <c r="K3787" i="1"/>
  <c r="K3788" i="1"/>
  <c r="K3789" i="1"/>
  <c r="K3790" i="1"/>
  <c r="K3791" i="1"/>
  <c r="K3792" i="1"/>
  <c r="K3793" i="1"/>
  <c r="K3794" i="1"/>
  <c r="K3795" i="1"/>
  <c r="K3796" i="1"/>
  <c r="K3797" i="1"/>
  <c r="K3798" i="1"/>
  <c r="K3799" i="1"/>
  <c r="K3800" i="1"/>
  <c r="K3801" i="1"/>
  <c r="K3802" i="1"/>
  <c r="K3803" i="1"/>
  <c r="K3804" i="1"/>
  <c r="K3805" i="1"/>
  <c r="K3806" i="1"/>
  <c r="K3807" i="1"/>
  <c r="K3808" i="1"/>
  <c r="K3809" i="1"/>
  <c r="K3810" i="1"/>
  <c r="K3811" i="1"/>
  <c r="K3812" i="1"/>
  <c r="K3813" i="1"/>
  <c r="K3814" i="1"/>
  <c r="K3815" i="1"/>
  <c r="K3816" i="1"/>
  <c r="K3817" i="1"/>
  <c r="K3818" i="1"/>
  <c r="K3819" i="1"/>
  <c r="K3820" i="1"/>
  <c r="K3821" i="1"/>
  <c r="K3822" i="1"/>
  <c r="K3823" i="1"/>
  <c r="K3824" i="1"/>
  <c r="K3825" i="1"/>
  <c r="K3826" i="1"/>
  <c r="K3827" i="1"/>
  <c r="K3828" i="1"/>
  <c r="K3829" i="1"/>
  <c r="K3830" i="1"/>
  <c r="K3831" i="1"/>
  <c r="K3832" i="1"/>
  <c r="K3833" i="1"/>
  <c r="K3834" i="1"/>
  <c r="K3835" i="1"/>
  <c r="K3836" i="1"/>
  <c r="K3837" i="1"/>
  <c r="K3838" i="1"/>
  <c r="K3839" i="1"/>
  <c r="K3840" i="1"/>
  <c r="K3841" i="1"/>
  <c r="K3842" i="1"/>
  <c r="K3843" i="1"/>
  <c r="K3844" i="1"/>
  <c r="K3845" i="1"/>
  <c r="K3846" i="1"/>
  <c r="K3847" i="1"/>
  <c r="K3848" i="1"/>
  <c r="K3849" i="1"/>
  <c r="K3850" i="1"/>
  <c r="K3851" i="1"/>
  <c r="K3852" i="1"/>
  <c r="K3853" i="1"/>
  <c r="K3854" i="1"/>
  <c r="K3855" i="1"/>
  <c r="K3856" i="1"/>
  <c r="K3857" i="1"/>
  <c r="K3858" i="1"/>
  <c r="K3859" i="1"/>
  <c r="K3860" i="1"/>
  <c r="K3861" i="1"/>
  <c r="K3862" i="1"/>
  <c r="K3863" i="1"/>
  <c r="K3864" i="1"/>
  <c r="K3865" i="1"/>
  <c r="K3866" i="1"/>
  <c r="K3867" i="1"/>
  <c r="K3868" i="1"/>
  <c r="K3869" i="1"/>
  <c r="K3870" i="1"/>
  <c r="K3871" i="1"/>
  <c r="K3872" i="1"/>
  <c r="K3873" i="1"/>
  <c r="K3874" i="1"/>
  <c r="K3875" i="1"/>
  <c r="K3876" i="1"/>
  <c r="K3877" i="1"/>
  <c r="K3878" i="1"/>
  <c r="K3879" i="1"/>
  <c r="K3880" i="1"/>
  <c r="K3881" i="1"/>
  <c r="K3882" i="1"/>
  <c r="K3883" i="1"/>
  <c r="K3884" i="1"/>
  <c r="K3885" i="1"/>
  <c r="K3886" i="1"/>
  <c r="K3887" i="1"/>
  <c r="K3888" i="1"/>
  <c r="K3889" i="1"/>
  <c r="K3890" i="1"/>
  <c r="K3891" i="1"/>
  <c r="K3892" i="1"/>
  <c r="K3893" i="1"/>
  <c r="K3894" i="1"/>
  <c r="K3895" i="1"/>
  <c r="K3896" i="1"/>
  <c r="K3897" i="1"/>
  <c r="K3898" i="1"/>
  <c r="K3899" i="1"/>
  <c r="K3900" i="1"/>
  <c r="K3901" i="1"/>
  <c r="K3902" i="1"/>
  <c r="K3903" i="1"/>
  <c r="K3904" i="1"/>
  <c r="K3905" i="1"/>
  <c r="K3906" i="1"/>
  <c r="K3907" i="1"/>
  <c r="K3908" i="1"/>
  <c r="K3909" i="1"/>
  <c r="K3910" i="1"/>
  <c r="K3911" i="1"/>
  <c r="K3912" i="1"/>
  <c r="K3913" i="1"/>
  <c r="K3914" i="1"/>
  <c r="K3915" i="1"/>
  <c r="K3916" i="1"/>
  <c r="K3917" i="1"/>
  <c r="K3918" i="1"/>
  <c r="K3919" i="1"/>
  <c r="K3920" i="1"/>
  <c r="K3921" i="1"/>
  <c r="K3922" i="1"/>
  <c r="K3923" i="1"/>
  <c r="K3924" i="1"/>
  <c r="K3925" i="1"/>
  <c r="K3926" i="1"/>
  <c r="K3927" i="1"/>
  <c r="K3928" i="1"/>
  <c r="K3929" i="1"/>
  <c r="K3930" i="1"/>
  <c r="K3931" i="1"/>
  <c r="K3932" i="1"/>
  <c r="K3933" i="1"/>
  <c r="K3934" i="1"/>
  <c r="K3935" i="1"/>
  <c r="K3936" i="1"/>
  <c r="K3937" i="1"/>
  <c r="K3938" i="1"/>
  <c r="K3939" i="1"/>
  <c r="K3940" i="1"/>
  <c r="K3941" i="1"/>
  <c r="K3942" i="1"/>
  <c r="K3943" i="1"/>
  <c r="K3944" i="1"/>
  <c r="K3945" i="1"/>
  <c r="K3946" i="1"/>
  <c r="K3947" i="1"/>
  <c r="K3948" i="1"/>
  <c r="K3949" i="1"/>
  <c r="K3950" i="1"/>
  <c r="K3951" i="1"/>
  <c r="K3952" i="1"/>
  <c r="K3953" i="1"/>
  <c r="K3954" i="1"/>
  <c r="K3955" i="1"/>
  <c r="K3956" i="1"/>
  <c r="K3957" i="1"/>
  <c r="K3958" i="1"/>
  <c r="K3959" i="1"/>
  <c r="K3960" i="1"/>
  <c r="K3961" i="1"/>
  <c r="K3962" i="1"/>
  <c r="K3963" i="1"/>
  <c r="K3964" i="1"/>
  <c r="K3965" i="1"/>
  <c r="K3966" i="1"/>
  <c r="K3967" i="1"/>
  <c r="K3968" i="1"/>
  <c r="K3969" i="1"/>
  <c r="K3970" i="1"/>
  <c r="K3971" i="1"/>
  <c r="K3972" i="1"/>
  <c r="K3973" i="1"/>
  <c r="K3974" i="1"/>
  <c r="K3975" i="1"/>
  <c r="K3976" i="1"/>
  <c r="K3977" i="1"/>
  <c r="K3978" i="1"/>
  <c r="K3979" i="1"/>
  <c r="K3980" i="1"/>
  <c r="K3981" i="1"/>
  <c r="K3982" i="1"/>
  <c r="K3983" i="1"/>
  <c r="K3984" i="1"/>
  <c r="K3985" i="1"/>
  <c r="K3986" i="1"/>
  <c r="K3987" i="1"/>
  <c r="K3988" i="1"/>
  <c r="K3989" i="1"/>
  <c r="K3990" i="1"/>
  <c r="K3991" i="1"/>
  <c r="K3992" i="1"/>
  <c r="K3993" i="1"/>
  <c r="K3994" i="1"/>
  <c r="K3995" i="1"/>
  <c r="K3996" i="1"/>
  <c r="K3997" i="1"/>
  <c r="K3998" i="1"/>
  <c r="K3999" i="1"/>
  <c r="K4000" i="1"/>
  <c r="K4001" i="1"/>
  <c r="K4002" i="1"/>
  <c r="K4003" i="1"/>
  <c r="K4004" i="1"/>
  <c r="K4005" i="1"/>
  <c r="K4006" i="1"/>
  <c r="K4007" i="1"/>
  <c r="K4008" i="1"/>
  <c r="K4009" i="1"/>
  <c r="K4010" i="1"/>
  <c r="K4011" i="1"/>
  <c r="K4012" i="1"/>
  <c r="K4013" i="1"/>
  <c r="K4014" i="1"/>
  <c r="K4015" i="1"/>
  <c r="K4016" i="1"/>
  <c r="K4017" i="1"/>
  <c r="K4018" i="1"/>
  <c r="K4019" i="1"/>
  <c r="K4020" i="1"/>
  <c r="K4021" i="1"/>
  <c r="K4022" i="1"/>
  <c r="K4023" i="1"/>
  <c r="K4024" i="1"/>
  <c r="K4025" i="1"/>
  <c r="K4026" i="1"/>
  <c r="K4027" i="1"/>
  <c r="K4028" i="1"/>
  <c r="K4029" i="1"/>
  <c r="K4030" i="1"/>
  <c r="K4031" i="1"/>
  <c r="K4032" i="1"/>
  <c r="K4033" i="1"/>
  <c r="K4034" i="1"/>
  <c r="K4035" i="1"/>
  <c r="K4036" i="1"/>
  <c r="K4037" i="1"/>
  <c r="K4038" i="1"/>
  <c r="K4039" i="1"/>
  <c r="K4040" i="1"/>
  <c r="K4041" i="1"/>
  <c r="K4042" i="1"/>
  <c r="K4043" i="1"/>
  <c r="K4044" i="1"/>
  <c r="K4045" i="1"/>
  <c r="K4046" i="1"/>
  <c r="K4047" i="1"/>
  <c r="K4048" i="1"/>
  <c r="K4049" i="1"/>
  <c r="K4050" i="1"/>
  <c r="K4051" i="1"/>
  <c r="K4052" i="1"/>
  <c r="K4053" i="1"/>
  <c r="K4054" i="1"/>
  <c r="K4055" i="1"/>
  <c r="K4056" i="1"/>
  <c r="K4057" i="1"/>
  <c r="K4058" i="1"/>
  <c r="K4059" i="1"/>
  <c r="K4060" i="1"/>
  <c r="K4061" i="1"/>
  <c r="K4062" i="1"/>
  <c r="K4063" i="1"/>
  <c r="K4064" i="1"/>
  <c r="K4065" i="1"/>
  <c r="K4066" i="1"/>
  <c r="K4067" i="1"/>
  <c r="K4068" i="1"/>
  <c r="K4069" i="1"/>
  <c r="K4070" i="1"/>
  <c r="K4071" i="1"/>
  <c r="K4072" i="1"/>
  <c r="K4073" i="1"/>
  <c r="K4074" i="1"/>
  <c r="K4075" i="1"/>
  <c r="K4076" i="1"/>
  <c r="K4077" i="1"/>
  <c r="K4078" i="1"/>
  <c r="K4079" i="1"/>
  <c r="K4080" i="1"/>
  <c r="K4081" i="1"/>
  <c r="K4082" i="1"/>
  <c r="K4083" i="1"/>
  <c r="K4084" i="1"/>
  <c r="K4085" i="1"/>
  <c r="K4086" i="1"/>
  <c r="K4087" i="1"/>
  <c r="K4088" i="1"/>
  <c r="K4089" i="1"/>
  <c r="K4090" i="1"/>
  <c r="K4091" i="1"/>
  <c r="K4092" i="1"/>
  <c r="K4093" i="1"/>
  <c r="K4094" i="1"/>
  <c r="K4095" i="1"/>
  <c r="K4096" i="1"/>
  <c r="K4097" i="1"/>
  <c r="K4098" i="1"/>
  <c r="K4099" i="1"/>
  <c r="K4100" i="1"/>
  <c r="K4101" i="1"/>
  <c r="K4102" i="1"/>
  <c r="K4103" i="1"/>
  <c r="K4104" i="1"/>
  <c r="K4105" i="1"/>
  <c r="K4106" i="1"/>
  <c r="K4107" i="1"/>
  <c r="K4108" i="1"/>
  <c r="K4109" i="1"/>
  <c r="K4110" i="1"/>
  <c r="K4111" i="1"/>
  <c r="K4112" i="1"/>
  <c r="K4113" i="1"/>
  <c r="K4114" i="1"/>
  <c r="K4115" i="1"/>
  <c r="K4116" i="1"/>
  <c r="K4117" i="1"/>
  <c r="K4118" i="1"/>
  <c r="K4119" i="1"/>
  <c r="K4120" i="1"/>
  <c r="K4121" i="1"/>
  <c r="K4122" i="1"/>
  <c r="K4123" i="1"/>
  <c r="K4124" i="1"/>
  <c r="K4125" i="1"/>
  <c r="K4126" i="1"/>
  <c r="K4127" i="1"/>
  <c r="K4128" i="1"/>
  <c r="K4129" i="1"/>
  <c r="K4130" i="1"/>
  <c r="K4131" i="1"/>
  <c r="K4132" i="1"/>
  <c r="K4133" i="1"/>
  <c r="K4134" i="1"/>
  <c r="K4135" i="1"/>
  <c r="K4136" i="1"/>
  <c r="K4137" i="1"/>
  <c r="K4138" i="1"/>
  <c r="K4139" i="1"/>
  <c r="K4140" i="1"/>
  <c r="K4141" i="1"/>
  <c r="K4142" i="1"/>
  <c r="K4143" i="1"/>
  <c r="K4144" i="1"/>
  <c r="K4145" i="1"/>
  <c r="K4146" i="1"/>
  <c r="K4147" i="1"/>
  <c r="K4148" i="1"/>
  <c r="K4149" i="1"/>
  <c r="K4150" i="1"/>
  <c r="K4151" i="1"/>
  <c r="K4152" i="1"/>
  <c r="K4153" i="1"/>
  <c r="K4154" i="1"/>
  <c r="K4155" i="1"/>
  <c r="K4156" i="1"/>
  <c r="K4157" i="1"/>
  <c r="K4158" i="1"/>
  <c r="K4159" i="1"/>
  <c r="K4160" i="1"/>
  <c r="K4161" i="1"/>
  <c r="K4162" i="1"/>
  <c r="K4163" i="1"/>
  <c r="K4164" i="1"/>
  <c r="K4165" i="1"/>
  <c r="K4166" i="1"/>
  <c r="K4167" i="1"/>
  <c r="K4168" i="1"/>
  <c r="K4169" i="1"/>
  <c r="K4170" i="1"/>
  <c r="K4171" i="1"/>
  <c r="K4172" i="1"/>
  <c r="K4173" i="1"/>
  <c r="K4174" i="1"/>
  <c r="K4175" i="1"/>
  <c r="K4176" i="1"/>
  <c r="K4177" i="1"/>
  <c r="K4178" i="1"/>
  <c r="K4179" i="1"/>
  <c r="K4180" i="1"/>
  <c r="K4181" i="1"/>
  <c r="K4182" i="1"/>
  <c r="K4183" i="1"/>
  <c r="K4184" i="1"/>
  <c r="K4185" i="1"/>
  <c r="K4186" i="1"/>
  <c r="K4187" i="1"/>
  <c r="K4188" i="1"/>
  <c r="K4189" i="1"/>
  <c r="K4190" i="1"/>
  <c r="K4191" i="1"/>
  <c r="K4192" i="1"/>
  <c r="K4193" i="1"/>
  <c r="K4194" i="1"/>
  <c r="K4195" i="1"/>
  <c r="K4196" i="1"/>
  <c r="K4197" i="1"/>
  <c r="K4198" i="1"/>
  <c r="K4199" i="1"/>
  <c r="K4200" i="1"/>
  <c r="K4201" i="1"/>
  <c r="K4202" i="1"/>
  <c r="K4203" i="1"/>
  <c r="K4204" i="1"/>
  <c r="K4205" i="1"/>
  <c r="K4206" i="1"/>
  <c r="K4207" i="1"/>
  <c r="K4208" i="1"/>
  <c r="K4209" i="1"/>
  <c r="K4210" i="1"/>
  <c r="K4211" i="1"/>
  <c r="K4212" i="1"/>
  <c r="K4213" i="1"/>
  <c r="K4214" i="1"/>
  <c r="K4215" i="1"/>
  <c r="K4216" i="1"/>
  <c r="K4217" i="1"/>
  <c r="K4218" i="1"/>
  <c r="K4219" i="1"/>
  <c r="K4220" i="1"/>
  <c r="K4221" i="1"/>
  <c r="K4222" i="1"/>
  <c r="K4223" i="1"/>
  <c r="K4224" i="1"/>
  <c r="K4225" i="1"/>
  <c r="K4226" i="1"/>
  <c r="K4227" i="1"/>
  <c r="K4228" i="1"/>
  <c r="K4229" i="1"/>
  <c r="K4230" i="1"/>
  <c r="K4231" i="1"/>
  <c r="K4232" i="1"/>
  <c r="K4233" i="1"/>
  <c r="K4234" i="1"/>
  <c r="K4235" i="1"/>
  <c r="K4236" i="1"/>
  <c r="K4237" i="1"/>
  <c r="K4238" i="1"/>
  <c r="K4239" i="1"/>
  <c r="K4240" i="1"/>
  <c r="K4241" i="1"/>
  <c r="K4242" i="1"/>
  <c r="K4243" i="1"/>
  <c r="K4244" i="1"/>
  <c r="K4245" i="1"/>
  <c r="K4246" i="1"/>
  <c r="K4247" i="1"/>
  <c r="K4248" i="1"/>
  <c r="K4249" i="1"/>
  <c r="K4250" i="1"/>
  <c r="K4251" i="1"/>
  <c r="K4252" i="1"/>
  <c r="K4253" i="1"/>
  <c r="K4254" i="1"/>
  <c r="K4255" i="1"/>
  <c r="K4256" i="1"/>
  <c r="K4257" i="1"/>
  <c r="K4258" i="1"/>
  <c r="K4259" i="1"/>
  <c r="K4260" i="1"/>
  <c r="K4261" i="1"/>
  <c r="K4262" i="1"/>
  <c r="K4263" i="1"/>
  <c r="K4264" i="1"/>
  <c r="K4265" i="1"/>
  <c r="K4266" i="1"/>
  <c r="K4267" i="1"/>
  <c r="K4268" i="1"/>
  <c r="K4269" i="1"/>
  <c r="K4270" i="1"/>
  <c r="K4271" i="1"/>
  <c r="K4272" i="1"/>
  <c r="K4273" i="1"/>
  <c r="K4274" i="1"/>
  <c r="K4275" i="1"/>
  <c r="K4276" i="1"/>
  <c r="K4277" i="1"/>
  <c r="K4278" i="1"/>
  <c r="K4279" i="1"/>
  <c r="K4280" i="1"/>
  <c r="K4281" i="1"/>
  <c r="K4282" i="1"/>
  <c r="K4283" i="1"/>
  <c r="K4284" i="1"/>
  <c r="K4285" i="1"/>
  <c r="K4286" i="1"/>
  <c r="K4287" i="1"/>
  <c r="K4288" i="1"/>
  <c r="K4289" i="1"/>
  <c r="K4290" i="1"/>
  <c r="K4291" i="1"/>
  <c r="K4292" i="1"/>
  <c r="K4293" i="1"/>
  <c r="K4294" i="1"/>
  <c r="K4295" i="1"/>
  <c r="K4296" i="1"/>
  <c r="K4297" i="1"/>
  <c r="K4298" i="1"/>
  <c r="K4299" i="1"/>
  <c r="K4300" i="1"/>
  <c r="K4301" i="1"/>
  <c r="K4302" i="1"/>
  <c r="K4303" i="1"/>
  <c r="K4304" i="1"/>
  <c r="K4305" i="1"/>
  <c r="K4306" i="1"/>
  <c r="K4307" i="1"/>
  <c r="K4308" i="1"/>
  <c r="K4309" i="1"/>
  <c r="K4310" i="1"/>
  <c r="K4311" i="1"/>
  <c r="K4312" i="1"/>
  <c r="K4313" i="1"/>
  <c r="K4314" i="1"/>
  <c r="K4315" i="1"/>
  <c r="K4316" i="1"/>
  <c r="K4317" i="1"/>
  <c r="K4318" i="1"/>
  <c r="K4319" i="1"/>
  <c r="K4320" i="1"/>
  <c r="K4321" i="1"/>
  <c r="K4322" i="1"/>
  <c r="K4323" i="1"/>
  <c r="K4324" i="1"/>
  <c r="K4325" i="1"/>
  <c r="K4326" i="1"/>
  <c r="K4327" i="1"/>
  <c r="K4328" i="1"/>
  <c r="K4329" i="1"/>
  <c r="K4330" i="1"/>
  <c r="K4331" i="1"/>
  <c r="K4332" i="1"/>
  <c r="K4333" i="1"/>
  <c r="K4334" i="1"/>
  <c r="K4335" i="1"/>
  <c r="K4336" i="1"/>
  <c r="K4337" i="1"/>
  <c r="K4338" i="1"/>
  <c r="K4339" i="1"/>
  <c r="K4340" i="1"/>
  <c r="K4341" i="1"/>
  <c r="K4342" i="1"/>
  <c r="K4343" i="1"/>
  <c r="K4344" i="1"/>
  <c r="K4345" i="1"/>
  <c r="K4346" i="1"/>
  <c r="K4347" i="1"/>
  <c r="K4348" i="1"/>
  <c r="K4349" i="1"/>
  <c r="K4350" i="1"/>
  <c r="K4351" i="1"/>
  <c r="K4352" i="1"/>
  <c r="K4353" i="1"/>
  <c r="K4354" i="1"/>
  <c r="K4355" i="1"/>
  <c r="K4356" i="1"/>
  <c r="K4357" i="1"/>
  <c r="K4358" i="1"/>
  <c r="K4359" i="1"/>
  <c r="K4360" i="1"/>
  <c r="K4361" i="1"/>
  <c r="K4362" i="1"/>
  <c r="K4363" i="1"/>
  <c r="K4364" i="1"/>
  <c r="K4365" i="1"/>
  <c r="K4366" i="1"/>
  <c r="K4367" i="1"/>
  <c r="K4368" i="1"/>
  <c r="K4369" i="1"/>
  <c r="K4370" i="1"/>
  <c r="K4371" i="1"/>
  <c r="K4372" i="1"/>
  <c r="K4373" i="1"/>
  <c r="K4374" i="1"/>
  <c r="K4375" i="1"/>
  <c r="K4376" i="1"/>
  <c r="K4377" i="1"/>
  <c r="K4378" i="1"/>
  <c r="K4379" i="1"/>
  <c r="K4380" i="1"/>
  <c r="K4381" i="1"/>
  <c r="K4382" i="1"/>
  <c r="K4383" i="1"/>
  <c r="K4384" i="1"/>
  <c r="K4385" i="1"/>
  <c r="K4386" i="1"/>
  <c r="K4387" i="1"/>
  <c r="K4388" i="1"/>
  <c r="K4389" i="1"/>
  <c r="K4390" i="1"/>
  <c r="K4391" i="1"/>
  <c r="K4392" i="1"/>
  <c r="K4393" i="1"/>
  <c r="K4394" i="1"/>
  <c r="K4395" i="1"/>
  <c r="K4396" i="1"/>
  <c r="K4397" i="1"/>
  <c r="K4398" i="1"/>
  <c r="K4399" i="1"/>
  <c r="K4400" i="1"/>
  <c r="K4401" i="1"/>
  <c r="K4402" i="1"/>
  <c r="K4403" i="1"/>
  <c r="K4404" i="1"/>
  <c r="K4405" i="1"/>
  <c r="K4406" i="1"/>
  <c r="K4407" i="1"/>
  <c r="K4408" i="1"/>
  <c r="K4409" i="1"/>
  <c r="K4410" i="1"/>
  <c r="K4411" i="1"/>
  <c r="K4412" i="1"/>
  <c r="K4413" i="1"/>
  <c r="K4414" i="1"/>
  <c r="K4415" i="1"/>
  <c r="K4416" i="1"/>
  <c r="K4417" i="1"/>
  <c r="K4418" i="1"/>
  <c r="K4419" i="1"/>
  <c r="K4420" i="1"/>
  <c r="K4421" i="1"/>
  <c r="K4422" i="1"/>
  <c r="K4423" i="1"/>
  <c r="K4424" i="1"/>
  <c r="K4425" i="1"/>
  <c r="K4426" i="1"/>
  <c r="K4427" i="1"/>
  <c r="K4428" i="1"/>
  <c r="K4429" i="1"/>
  <c r="K4430" i="1"/>
  <c r="K4431" i="1"/>
  <c r="K4432" i="1"/>
  <c r="K4433" i="1"/>
  <c r="K4434" i="1"/>
  <c r="K4435" i="1"/>
  <c r="K4436" i="1"/>
  <c r="K4437" i="1"/>
  <c r="K4438" i="1"/>
  <c r="K4439" i="1"/>
  <c r="K4440" i="1"/>
  <c r="K4441" i="1"/>
  <c r="K4442" i="1"/>
  <c r="K4443" i="1"/>
  <c r="K4444" i="1"/>
  <c r="K4445" i="1"/>
  <c r="K4446" i="1"/>
  <c r="K4447" i="1"/>
  <c r="K4448" i="1"/>
  <c r="K4449" i="1"/>
  <c r="K4450" i="1"/>
  <c r="K4451" i="1"/>
  <c r="K4452" i="1"/>
  <c r="K4453" i="1"/>
  <c r="K4454" i="1"/>
  <c r="K4455" i="1"/>
  <c r="K4456" i="1"/>
  <c r="K4457" i="1"/>
  <c r="K4458" i="1"/>
  <c r="K4459" i="1"/>
  <c r="K4460" i="1"/>
  <c r="K4461" i="1"/>
  <c r="K4462" i="1"/>
  <c r="K4463" i="1"/>
  <c r="K4464" i="1"/>
  <c r="K4465" i="1"/>
  <c r="K4466" i="1"/>
  <c r="K4467" i="1"/>
  <c r="K4468" i="1"/>
  <c r="K4469" i="1"/>
  <c r="K4470" i="1"/>
  <c r="K4471" i="1"/>
  <c r="K4472" i="1"/>
  <c r="K4473" i="1"/>
  <c r="K4474" i="1"/>
  <c r="K4475" i="1"/>
  <c r="K4476" i="1"/>
  <c r="K4477" i="1"/>
  <c r="K4478" i="1"/>
  <c r="K4479" i="1"/>
  <c r="K4480" i="1"/>
  <c r="K4481" i="1"/>
  <c r="K4482" i="1"/>
  <c r="K4483" i="1"/>
  <c r="K4484" i="1"/>
  <c r="K4485" i="1"/>
  <c r="K4486" i="1"/>
  <c r="K4487" i="1"/>
  <c r="K4488" i="1"/>
  <c r="K4489" i="1"/>
  <c r="K4490" i="1"/>
  <c r="K4491" i="1"/>
  <c r="K4492" i="1"/>
  <c r="K4493" i="1"/>
  <c r="K4494" i="1"/>
  <c r="K4495" i="1"/>
  <c r="K4496" i="1"/>
  <c r="K4497" i="1"/>
  <c r="K4498" i="1"/>
  <c r="K4499" i="1"/>
  <c r="K4500" i="1"/>
  <c r="K4501" i="1"/>
  <c r="K4502" i="1"/>
  <c r="K4503" i="1"/>
  <c r="K4504" i="1"/>
  <c r="K4505" i="1"/>
  <c r="K4506" i="1"/>
  <c r="K4507" i="1"/>
  <c r="K4508" i="1"/>
  <c r="K4509" i="1"/>
  <c r="K4510" i="1"/>
  <c r="K4511" i="1"/>
  <c r="K4512" i="1"/>
  <c r="K4513" i="1"/>
  <c r="K4514" i="1"/>
  <c r="K4515" i="1"/>
  <c r="K4516" i="1"/>
  <c r="K4517" i="1"/>
  <c r="K4518" i="1"/>
  <c r="K4519" i="1"/>
  <c r="K4520" i="1"/>
  <c r="K4521" i="1"/>
  <c r="K4522" i="1"/>
  <c r="K4523" i="1"/>
  <c r="K4524" i="1"/>
  <c r="K4525" i="1"/>
  <c r="K4526" i="1"/>
  <c r="K4527" i="1"/>
  <c r="K4528" i="1"/>
  <c r="K4529" i="1"/>
  <c r="K4530" i="1"/>
  <c r="K4531" i="1"/>
  <c r="K4532" i="1"/>
  <c r="K4533" i="1"/>
  <c r="K4534" i="1"/>
  <c r="K4535" i="1"/>
  <c r="K4536" i="1"/>
  <c r="K4537" i="1"/>
  <c r="K4538" i="1"/>
  <c r="K4539" i="1"/>
  <c r="K4540" i="1"/>
  <c r="K4541" i="1"/>
  <c r="K4542" i="1"/>
  <c r="K4543" i="1"/>
  <c r="K4544" i="1"/>
  <c r="K4545" i="1"/>
  <c r="K4546" i="1"/>
  <c r="K4547" i="1"/>
  <c r="K4548" i="1"/>
  <c r="K4549" i="1"/>
  <c r="K4550" i="1"/>
  <c r="K4551" i="1"/>
  <c r="K4552" i="1"/>
  <c r="K4553" i="1"/>
  <c r="K4554" i="1"/>
  <c r="K4555" i="1"/>
  <c r="K4556" i="1"/>
  <c r="K4557" i="1"/>
  <c r="K4558" i="1"/>
  <c r="K4559" i="1"/>
  <c r="K4560" i="1"/>
  <c r="K4561" i="1"/>
  <c r="K4562" i="1"/>
  <c r="K4563" i="1"/>
  <c r="K4564" i="1"/>
  <c r="K4565" i="1"/>
  <c r="K4566" i="1"/>
  <c r="K4567" i="1"/>
  <c r="K4568" i="1"/>
  <c r="K4569" i="1"/>
  <c r="K4570" i="1"/>
  <c r="K4571" i="1"/>
  <c r="K4572" i="1"/>
  <c r="K4573" i="1"/>
  <c r="K4574" i="1"/>
  <c r="K4575" i="1"/>
  <c r="K4576" i="1"/>
  <c r="K4577" i="1"/>
  <c r="K4578" i="1"/>
  <c r="K4579" i="1"/>
  <c r="K4580" i="1"/>
  <c r="K4581" i="1"/>
  <c r="K4582" i="1"/>
  <c r="K4583" i="1"/>
  <c r="K4584" i="1"/>
  <c r="K4585" i="1"/>
  <c r="K4586" i="1"/>
  <c r="K4587" i="1"/>
  <c r="K4588" i="1"/>
  <c r="K4589" i="1"/>
  <c r="K4590" i="1"/>
  <c r="K4591" i="1"/>
  <c r="K4592" i="1"/>
  <c r="K4593" i="1"/>
  <c r="K4594" i="1"/>
  <c r="K4595" i="1"/>
  <c r="K4596" i="1"/>
  <c r="K4597" i="1"/>
  <c r="K4598" i="1"/>
  <c r="K4599" i="1"/>
  <c r="K4600" i="1"/>
  <c r="K4601" i="1"/>
  <c r="K4602" i="1"/>
  <c r="K4603" i="1"/>
  <c r="K4604" i="1"/>
  <c r="K4605" i="1"/>
  <c r="K4606" i="1"/>
  <c r="K4607" i="1"/>
  <c r="K4608" i="1"/>
  <c r="K4609" i="1"/>
  <c r="K4610" i="1"/>
  <c r="K4611" i="1"/>
  <c r="K4612" i="1"/>
  <c r="K4613" i="1"/>
  <c r="K4614" i="1"/>
  <c r="K4615" i="1"/>
  <c r="K4616" i="1"/>
  <c r="K4617" i="1"/>
  <c r="K4618" i="1"/>
  <c r="K4619" i="1"/>
  <c r="K4620" i="1"/>
  <c r="K4621" i="1"/>
  <c r="K4622" i="1"/>
  <c r="K4623" i="1"/>
  <c r="K4624" i="1"/>
  <c r="K4625" i="1"/>
  <c r="K4626" i="1"/>
  <c r="K4627" i="1"/>
  <c r="K4628" i="1"/>
  <c r="K4629" i="1"/>
  <c r="K4630" i="1"/>
  <c r="K4631" i="1"/>
  <c r="K4632" i="1"/>
  <c r="K4633" i="1"/>
  <c r="K4634" i="1"/>
  <c r="K4635" i="1"/>
  <c r="K4636" i="1"/>
  <c r="K4637" i="1"/>
  <c r="K4638" i="1"/>
  <c r="K4639" i="1"/>
  <c r="K4640" i="1"/>
  <c r="K4641" i="1"/>
  <c r="K4642" i="1"/>
  <c r="K4643" i="1"/>
  <c r="K4644" i="1"/>
  <c r="K4645" i="1"/>
  <c r="K4646" i="1"/>
  <c r="K4647" i="1"/>
  <c r="K4648" i="1"/>
  <c r="K4649" i="1"/>
  <c r="K4650" i="1"/>
  <c r="K4651" i="1"/>
  <c r="K4652" i="1"/>
  <c r="K4653" i="1"/>
  <c r="K4654" i="1"/>
  <c r="K4655" i="1"/>
  <c r="K4656" i="1"/>
  <c r="K4657" i="1"/>
  <c r="K4658" i="1"/>
  <c r="K4659" i="1"/>
  <c r="K4660" i="1"/>
  <c r="K4661" i="1"/>
  <c r="K4662" i="1"/>
  <c r="K4663" i="1"/>
  <c r="K4664" i="1"/>
  <c r="K4665" i="1"/>
  <c r="K4666" i="1"/>
  <c r="K4667" i="1"/>
  <c r="K4668" i="1"/>
  <c r="K4669" i="1"/>
  <c r="K4670" i="1"/>
  <c r="K4671" i="1"/>
  <c r="K4672" i="1"/>
  <c r="K4673" i="1"/>
  <c r="K4674" i="1"/>
  <c r="K4675" i="1"/>
  <c r="K4676" i="1"/>
  <c r="K4677" i="1"/>
  <c r="K4678" i="1"/>
  <c r="K4679" i="1"/>
  <c r="K4680" i="1"/>
  <c r="K4681" i="1"/>
  <c r="K4682" i="1"/>
  <c r="K4683" i="1"/>
  <c r="K4684" i="1"/>
  <c r="K4685" i="1"/>
  <c r="K4686" i="1"/>
  <c r="K4687" i="1"/>
  <c r="K4688" i="1"/>
  <c r="K4689" i="1"/>
  <c r="K4690" i="1"/>
  <c r="K4691" i="1"/>
  <c r="K4692" i="1"/>
  <c r="K4693" i="1"/>
  <c r="K4694" i="1"/>
  <c r="K4695" i="1"/>
  <c r="K4696" i="1"/>
  <c r="K4697" i="1"/>
  <c r="K4698" i="1"/>
  <c r="K4699" i="1"/>
  <c r="K4700" i="1"/>
  <c r="K4701" i="1"/>
  <c r="K4702" i="1"/>
  <c r="K4703" i="1"/>
  <c r="K4704" i="1"/>
  <c r="K4705" i="1"/>
  <c r="K4706" i="1"/>
  <c r="K4707" i="1"/>
  <c r="K4708" i="1"/>
  <c r="K4709" i="1"/>
  <c r="K4710" i="1"/>
  <c r="K4711" i="1"/>
  <c r="K4712" i="1"/>
  <c r="K4713" i="1"/>
  <c r="K4714" i="1"/>
  <c r="K4715" i="1"/>
  <c r="K4716" i="1"/>
  <c r="K4717" i="1"/>
  <c r="K4718" i="1"/>
  <c r="K4719" i="1"/>
  <c r="K4720" i="1"/>
  <c r="K4721" i="1"/>
  <c r="K4722" i="1"/>
  <c r="K4723" i="1"/>
  <c r="K4724" i="1"/>
  <c r="K4725" i="1"/>
  <c r="K4726" i="1"/>
  <c r="K4727" i="1"/>
  <c r="K4728" i="1"/>
  <c r="K4729" i="1"/>
  <c r="K4730" i="1"/>
  <c r="K4731" i="1"/>
  <c r="K4732" i="1"/>
  <c r="K4733" i="1"/>
  <c r="K4734" i="1"/>
  <c r="K4735" i="1"/>
  <c r="K4736" i="1"/>
  <c r="K4737" i="1"/>
  <c r="K4738" i="1"/>
  <c r="K4739" i="1"/>
  <c r="K4740" i="1"/>
  <c r="K4741" i="1"/>
  <c r="K4742" i="1"/>
  <c r="K4743" i="1"/>
  <c r="K4744" i="1"/>
  <c r="K4745" i="1"/>
  <c r="K4746" i="1"/>
  <c r="K4747" i="1"/>
  <c r="K4748" i="1"/>
  <c r="K4749" i="1"/>
  <c r="K4750" i="1"/>
  <c r="K4751" i="1"/>
  <c r="K4752" i="1"/>
  <c r="K4753" i="1"/>
  <c r="K4754" i="1"/>
  <c r="K4755" i="1"/>
  <c r="K4756" i="1"/>
  <c r="K4757" i="1"/>
  <c r="K4758" i="1"/>
  <c r="K4759" i="1"/>
  <c r="K4760" i="1"/>
  <c r="K4761" i="1"/>
  <c r="K4762" i="1"/>
  <c r="K4763" i="1"/>
  <c r="K4764" i="1"/>
  <c r="K4765" i="1"/>
  <c r="K4766" i="1"/>
  <c r="K4767" i="1"/>
  <c r="K4768" i="1"/>
  <c r="K4769" i="1"/>
  <c r="K4770" i="1"/>
  <c r="K4771" i="1"/>
  <c r="K4772" i="1"/>
  <c r="K4773" i="1"/>
  <c r="K4774" i="1"/>
  <c r="K4775" i="1"/>
  <c r="K4776" i="1"/>
  <c r="K4777" i="1"/>
  <c r="K4778" i="1"/>
  <c r="K4779" i="1"/>
  <c r="K4780" i="1"/>
  <c r="K4781" i="1"/>
  <c r="K4782" i="1"/>
  <c r="K4783" i="1"/>
  <c r="K4784" i="1"/>
  <c r="K4785" i="1"/>
  <c r="K4786" i="1"/>
  <c r="K4787" i="1"/>
  <c r="K4788" i="1"/>
  <c r="K4789" i="1"/>
  <c r="K4790" i="1"/>
  <c r="K4791" i="1"/>
  <c r="K4792" i="1"/>
  <c r="K4793" i="1"/>
  <c r="K4794" i="1"/>
  <c r="K4795" i="1"/>
  <c r="K4796" i="1"/>
  <c r="K4797" i="1"/>
  <c r="K4798" i="1"/>
  <c r="K4799" i="1"/>
  <c r="K4800" i="1"/>
  <c r="K4801" i="1"/>
  <c r="K4802" i="1"/>
  <c r="K4803" i="1"/>
  <c r="K4804" i="1"/>
  <c r="K4805" i="1"/>
  <c r="K4806" i="1"/>
  <c r="K4807" i="1"/>
  <c r="K4808" i="1"/>
  <c r="K4809" i="1"/>
  <c r="K4810" i="1"/>
  <c r="K4811" i="1"/>
  <c r="K4812" i="1"/>
  <c r="K4813" i="1"/>
  <c r="K4814" i="1"/>
  <c r="K4815" i="1"/>
  <c r="K4816" i="1"/>
  <c r="K4817" i="1"/>
  <c r="K4818" i="1"/>
  <c r="K4819" i="1"/>
  <c r="K4820" i="1"/>
  <c r="K4821" i="1"/>
  <c r="K4822" i="1"/>
  <c r="K4823" i="1"/>
  <c r="K4824" i="1"/>
  <c r="K4825" i="1"/>
  <c r="K4826" i="1"/>
  <c r="K4827" i="1"/>
  <c r="K4828" i="1"/>
  <c r="K4829" i="1"/>
  <c r="K4830" i="1"/>
  <c r="K4831" i="1"/>
  <c r="K4832" i="1"/>
  <c r="K4833" i="1"/>
  <c r="K4834" i="1"/>
  <c r="K4835" i="1"/>
  <c r="K4836" i="1"/>
  <c r="K4837" i="1"/>
  <c r="K4838" i="1"/>
  <c r="K4839" i="1"/>
  <c r="K4840" i="1"/>
  <c r="K4841" i="1"/>
  <c r="K4842" i="1"/>
  <c r="K4843" i="1"/>
  <c r="K4844" i="1"/>
  <c r="K4845" i="1"/>
  <c r="K4846" i="1"/>
  <c r="K4847" i="1"/>
  <c r="K4848" i="1"/>
  <c r="K4849" i="1"/>
  <c r="K4850" i="1"/>
  <c r="K4851" i="1"/>
  <c r="K4852" i="1"/>
  <c r="K4853" i="1"/>
  <c r="K4854" i="1"/>
  <c r="E4" i="2" l="1"/>
</calcChain>
</file>

<file path=xl/sharedStrings.xml><?xml version="1.0" encoding="utf-8"?>
<sst xmlns="http://schemas.openxmlformats.org/spreadsheetml/2006/main" count="35182" uniqueCount="6526">
  <si>
    <t>Deltacoronavirus</t>
  </si>
  <si>
    <t>Bulbul coronavirus HKU11</t>
  </si>
  <si>
    <t>Thrush coronavirus HKU12</t>
  </si>
  <si>
    <t>Mud crab virus</t>
  </si>
  <si>
    <t>Slow bee paralysis virus</t>
  </si>
  <si>
    <t>Bovine rhinitis A virus</t>
  </si>
  <si>
    <t>Melon mild mottle 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</si>
  <si>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</si>
  <si>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</si>
  <si>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</si>
  <si>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</si>
  <si>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</si>
  <si>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</si>
  <si>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</si>
  <si>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</si>
  <si>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Blackberry virus S</t>
  </si>
  <si>
    <t>Grapevine Syrah virus 1</t>
  </si>
  <si>
    <t>Olive latent virus 3</t>
  </si>
  <si>
    <t>Chiltepin yellow mosaic virus</t>
  </si>
  <si>
    <t>Alphatetraviridae</t>
  </si>
  <si>
    <t>Alvernaviridae</t>
  </si>
  <si>
    <t>Dinornavirus</t>
  </si>
  <si>
    <t>Heterocapsa circularisquama RNA virus 01</t>
  </si>
  <si>
    <t>Torque teno mini virus 10</t>
  </si>
  <si>
    <t>Torque teno mini virus 11</t>
  </si>
  <si>
    <t>Torque teno mini virus 12</t>
  </si>
  <si>
    <t>Torque teno felis virus 2</t>
  </si>
  <si>
    <t>Torque teno midi virus 10</t>
  </si>
  <si>
    <t>Torque teno midi virus 11</t>
  </si>
  <si>
    <t>Torque teno midi virus 12</t>
  </si>
  <si>
    <t>Torque teno midi virus 13</t>
  </si>
  <si>
    <t>Torque teno midi virus 14</t>
  </si>
  <si>
    <t>Torque teno midi virus 15</t>
  </si>
  <si>
    <t>Torque teno midi virus 3</t>
  </si>
  <si>
    <t>Torque teno midi virus 4</t>
  </si>
  <si>
    <t>Torque teno midi virus 5</t>
  </si>
  <si>
    <t>Torque teno midi virus 6</t>
  </si>
  <si>
    <t>Torque teno midi virus 7</t>
  </si>
  <si>
    <t>Torque teno midi virus 8</t>
  </si>
  <si>
    <t>Torque teno midi virus 9</t>
  </si>
  <si>
    <t>Torque teno sus virus 1a</t>
  </si>
  <si>
    <t>Torque teno sus virus 1b</t>
  </si>
  <si>
    <t>Kappatorquevirus</t>
  </si>
  <si>
    <t>Lambdatorquevirus</t>
  </si>
  <si>
    <t>Torque teno zalophus virus 1</t>
  </si>
  <si>
    <t>Avastrovirus 1</t>
  </si>
  <si>
    <t>Avastrovirus 2</t>
  </si>
  <si>
    <t>Avastrovirus 3</t>
  </si>
  <si>
    <t>Mamastrovirus 1</t>
  </si>
  <si>
    <t>Mamastrovirus 10</t>
  </si>
  <si>
    <t>Mamastrovirus 11</t>
  </si>
  <si>
    <t>Mamastrovirus 12</t>
  </si>
  <si>
    <t>Mamastrovirus 13</t>
  </si>
  <si>
    <t>Mamastrovirus 14</t>
  </si>
  <si>
    <t>Mamastrovirus 15</t>
  </si>
  <si>
    <t>Mamastrovirus 16</t>
  </si>
  <si>
    <t>Mamastrovirus 17</t>
  </si>
  <si>
    <t>Mamastrovirus 18</t>
  </si>
  <si>
    <t>Mamastrovirus 19</t>
  </si>
  <si>
    <t>Mamastrovirus 2</t>
  </si>
  <si>
    <t>Mamastrovirus 3</t>
  </si>
  <si>
    <t>Mamastrovirus 4</t>
  </si>
  <si>
    <t>Mamastrovirus 5</t>
  </si>
  <si>
    <t>Mamastrovirus 6</t>
  </si>
  <si>
    <t>Mamastrovirus 7</t>
  </si>
  <si>
    <t>Mamastrovirus 8</t>
  </si>
  <si>
    <t>Mamastrovirus 9</t>
  </si>
  <si>
    <t>Bidnaviridae</t>
  </si>
  <si>
    <t>Bidensovirus</t>
  </si>
  <si>
    <t>Bombyx mori bidensovirus</t>
  </si>
  <si>
    <t>Gayfeather mild mottle virus</t>
  </si>
  <si>
    <t>Blackberry chlorotic ringspot virus</t>
  </si>
  <si>
    <t>Lilac leaf chlorosis virus</t>
  </si>
  <si>
    <t>Strawberry necrotic shock virus</t>
  </si>
  <si>
    <t>Carmotetraviridae</t>
  </si>
  <si>
    <t>Alphacarmotetravirus</t>
  </si>
  <si>
    <t>Banana streak VN virus</t>
  </si>
  <si>
    <t>Bougainvillea chlorotic vein banding virus</t>
  </si>
  <si>
    <t>Citrus yellow mosaic virus</t>
  </si>
  <si>
    <t>Dioscorea bacilliform AL virus</t>
  </si>
  <si>
    <t>Dioscorea bacilliform SN virus</t>
  </si>
  <si>
    <t>Grapevine vein clearing virus</t>
  </si>
  <si>
    <t>Pineapple bacilliform CO virus</t>
  </si>
  <si>
    <t>Pineapple bacilliform ER virus</t>
  </si>
  <si>
    <t>Sugarcane bacilliform MO virus</t>
  </si>
  <si>
    <t>Sweet potato pakakuy virus</t>
  </si>
  <si>
    <t>Lamium leaf distortion virus</t>
  </si>
  <si>
    <t>Solendovirus</t>
  </si>
  <si>
    <t>Sweet potato vein clearing virus</t>
  </si>
  <si>
    <t>Cestrum yellow leaf curling virus</t>
  </si>
  <si>
    <t>Clavaviridae</t>
  </si>
  <si>
    <t>Clavavirus</t>
  </si>
  <si>
    <t>Aeropyrum pernix bacilliform virus 1</t>
  </si>
  <si>
    <t>Raspberry leaf mottle virus</t>
  </si>
  <si>
    <t>Strawberry chlorotic fleck-associated virus</t>
  </si>
  <si>
    <t>Corchorus yellow vein virus</t>
  </si>
  <si>
    <t>Merremia mosaic virus</t>
  </si>
  <si>
    <t>Hytrosaviridae</t>
  </si>
  <si>
    <t>Glossinavirus</t>
  </si>
  <si>
    <t>Glossina hytrovirus</t>
  </si>
  <si>
    <t>Muscavirus</t>
  </si>
  <si>
    <t>Musca hytrovirus</t>
  </si>
  <si>
    <t>Megabirnaviridae</t>
  </si>
  <si>
    <t>Megabirnavirus</t>
  </si>
  <si>
    <t>Rosellinia necatrix megabirnavirus 1</t>
  </si>
  <si>
    <t>Faba bean necrotic stunt virus</t>
  </si>
  <si>
    <t>Pea necrotic yellow dwarf 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</si>
  <si>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</si>
  <si>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</si>
  <si>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</si>
  <si>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</si>
  <si>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</si>
  <si>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</si>
  <si>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</si>
  <si>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</si>
  <si>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</si>
  <si>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</si>
  <si>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</si>
  <si>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</si>
  <si>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</si>
  <si>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</si>
  <si>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</si>
  <si>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</si>
  <si>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</si>
  <si>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</si>
  <si>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</si>
  <si>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</si>
  <si>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</si>
  <si>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</si>
  <si>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</si>
  <si>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</si>
  <si>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</si>
  <si>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</si>
  <si>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</si>
  <si>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</si>
  <si>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</si>
  <si>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</si>
  <si>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</si>
  <si>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</si>
  <si>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</si>
  <si>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</si>
  <si>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</si>
  <si>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</si>
  <si>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</si>
  <si>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</si>
  <si>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</si>
  <si>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</si>
  <si>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</si>
  <si>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</si>
  <si>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</si>
  <si>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</si>
  <si>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</si>
  <si>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</si>
  <si>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</si>
  <si>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</si>
  <si>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</si>
  <si>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</si>
  <si>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</si>
  <si>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</si>
  <si>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</si>
  <si>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</si>
  <si>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</si>
  <si>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</si>
  <si>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</si>
  <si>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</si>
  <si>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</si>
  <si>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</si>
  <si>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</si>
  <si>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</si>
  <si>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</si>
  <si>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</si>
  <si>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</si>
  <si>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</si>
  <si>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</si>
  <si>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</si>
  <si>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</si>
  <si>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</si>
  <si>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</si>
  <si>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</si>
  <si>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</si>
  <si>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</si>
  <si>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</si>
  <si>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</si>
  <si>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</si>
  <si>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</si>
  <si>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</si>
  <si>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</si>
  <si>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</si>
  <si>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</si>
  <si>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</si>
  <si>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</si>
  <si>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</si>
  <si>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Acanthocystis turfacea chlorella virus 1</t>
  </si>
  <si>
    <t>Ostreococcus tauri virus OtV5</t>
  </si>
  <si>
    <t>Pepper chat fruit viroid</t>
  </si>
  <si>
    <t>Ugandan cassava brown streak virus</t>
  </si>
  <si>
    <t>Poacevirus</t>
  </si>
  <si>
    <t>Triticum mosaic virus</t>
  </si>
  <si>
    <t>Sunflower chlorotic mottle virus</t>
  </si>
  <si>
    <t>Sweet potato virus C</t>
  </si>
  <si>
    <t>Yambean mosaic virus</t>
  </si>
  <si>
    <t>Mule deerpox virus</t>
  </si>
  <si>
    <t>Crocodylidpoxvirus</t>
  </si>
  <si>
    <t>Nile crocodilepox virus</t>
  </si>
  <si>
    <t>Skunkpox virus</t>
  </si>
  <si>
    <t>Squirrelpox virus</t>
  </si>
  <si>
    <t>Calibrachoa mottle virus</t>
  </si>
  <si>
    <t>Honeysuckle ringspot virus</t>
  </si>
  <si>
    <t>Soybean yellow mottle mosaic virus</t>
  </si>
  <si>
    <t>Cocksfoot mild mosaic virus</t>
  </si>
  <si>
    <t>Trichomonasvirus</t>
  </si>
  <si>
    <t>Trichomonas vaginalis virus 1</t>
  </si>
  <si>
    <t>Trichomonas vaginalis virus 2</t>
  </si>
  <si>
    <t>Trichomonas vaginalis virus 3</t>
  </si>
  <si>
    <t>Dinodnavirus</t>
  </si>
  <si>
    <t>Heterocapsa circularisquama DNA virus 01</t>
  </si>
  <si>
    <t>Imperata yellow mottle virus</t>
  </si>
  <si>
    <t>Japanese soil-borne wheat mosaic virus</t>
  </si>
  <si>
    <t>Strawberry pseudo mild yellow edge virus</t>
  </si>
  <si>
    <t>Sweet potato chlorotic fleck virus</t>
  </si>
  <si>
    <t>Verbena latent virus</t>
  </si>
  <si>
    <t>Citrivirus</t>
  </si>
  <si>
    <t>Citrus leaf blotch virus</t>
  </si>
  <si>
    <t>Foveavirus</t>
  </si>
  <si>
    <t>Apple stem pitting virus</t>
  </si>
  <si>
    <t>Apricot latent virus</t>
  </si>
  <si>
    <t>Parietaria mottle virus</t>
  </si>
  <si>
    <t>Prune dwarf virus</t>
  </si>
  <si>
    <t>Prunus necrotic ringspot virus</t>
  </si>
  <si>
    <t>Rotavirus</t>
  </si>
  <si>
    <t>Alstroemeria virus X</t>
  </si>
  <si>
    <t>Alternanthera mosaic virus</t>
  </si>
  <si>
    <t>Asparagus virus 3</t>
  </si>
  <si>
    <t>Bamboo mosaic virus</t>
  </si>
  <si>
    <t>Cactus virus X</t>
  </si>
  <si>
    <t>Cassava common mosaic virus</t>
  </si>
  <si>
    <t>Cassava virus X</t>
  </si>
  <si>
    <t>Clover yellow mosaic virus</t>
  </si>
  <si>
    <t>Cymbidium mosaic virus</t>
  </si>
  <si>
    <t>Foxtail mosaic virus</t>
  </si>
  <si>
    <t>Rice ragged stunt virus</t>
  </si>
  <si>
    <t>Phytoreovirus</t>
  </si>
  <si>
    <t>Avian carcinoma Mill Hill virus 2</t>
  </si>
  <si>
    <t>Avian myeloblastosis virus</t>
  </si>
  <si>
    <t>Avian myelocytomatosis virus 29</t>
  </si>
  <si>
    <t>Avian sarcoma virus CT10</t>
  </si>
  <si>
    <t>Scrophularia mottle virus</t>
  </si>
  <si>
    <t>Sulfolobus newzealandicus droplet-shaped virus</t>
  </si>
  <si>
    <t>Hepadnaviridae</t>
  </si>
  <si>
    <t>Sweet potato mild speckling virus</t>
  </si>
  <si>
    <t>Sweet potato virus 2</t>
  </si>
  <si>
    <t>Sweet potato virus G</t>
  </si>
  <si>
    <t>Telfairia mosaic virus</t>
  </si>
  <si>
    <t>Thunberg fritillary mosaic virus</t>
  </si>
  <si>
    <t>Tobacco etch virus</t>
  </si>
  <si>
    <t>Woolly monkey hepatitis B virus</t>
  </si>
  <si>
    <t>Hypoviridae</t>
  </si>
  <si>
    <t>Hypovirus</t>
  </si>
  <si>
    <t>Cryphonectria hypovirus 1</t>
  </si>
  <si>
    <t>Cryphonectria hypovirus 2</t>
  </si>
  <si>
    <t>Cryphonectria hypovirus 3</t>
  </si>
  <si>
    <t>Hordeivirus</t>
  </si>
  <si>
    <t>Anthoxanthum latent blanching virus</t>
  </si>
  <si>
    <t>Barley stripe mosaic virus</t>
  </si>
  <si>
    <t>Lychnis ringspot virus</t>
  </si>
  <si>
    <t>Poa semilatent virus</t>
  </si>
  <si>
    <t>Idaeovirus</t>
  </si>
  <si>
    <t>Raspberry bushy dwarf virus</t>
  </si>
  <si>
    <t>Ourmiavirus</t>
  </si>
  <si>
    <t>Cassava virus C</t>
  </si>
  <si>
    <t>Epirus cherry virus</t>
  </si>
  <si>
    <t>Ourmia melon virus</t>
  </si>
  <si>
    <t>Pecluvirus</t>
  </si>
  <si>
    <t>Indian peanut clump virus</t>
  </si>
  <si>
    <t>Peanut clump virus</t>
  </si>
  <si>
    <t>Sorghum chlorotic spot virus</t>
  </si>
  <si>
    <t>Bean golden mosaic virus</t>
  </si>
  <si>
    <t>Bean golden yellow mosaic virus</t>
  </si>
  <si>
    <t>Bhendi yellow vein mosaic virus</t>
  </si>
  <si>
    <t>Boerhavia yellow spot virus</t>
  </si>
  <si>
    <t>Cabbage leaf curl Jamaica virus</t>
  </si>
  <si>
    <t>Cabbage leaf curl virus</t>
  </si>
  <si>
    <t>Chayote yellow mosaic virus</t>
  </si>
  <si>
    <t>Chilli leaf curl virus</t>
  </si>
  <si>
    <t>Chino del tomate virus</t>
  </si>
  <si>
    <t>Clerodendron golden mosaic virus</t>
  </si>
  <si>
    <t>Corchorus golden mosaic virus</t>
  </si>
  <si>
    <t>Corchorus yellow spot virus</t>
  </si>
  <si>
    <t>Arabidopsis thaliana Art1 virus</t>
  </si>
  <si>
    <t>Arabidopsis thaliana AtRE1 virus</t>
  </si>
  <si>
    <t>Cotton leaf curl Alabad virus</t>
  </si>
  <si>
    <t>Capillovirus</t>
  </si>
  <si>
    <t>Cotton leaf curl Gezira virus</t>
  </si>
  <si>
    <t>Cotton leaf curl Kokhran virus</t>
  </si>
  <si>
    <t>Cryptosporidium parvum virus 1</t>
  </si>
  <si>
    <t>Botrytis virus F</t>
  </si>
  <si>
    <t>Carnation latent virus</t>
  </si>
  <si>
    <t>Eupatorium yellow vein mosaic virus</t>
  </si>
  <si>
    <t>Mycoflexivirus</t>
  </si>
  <si>
    <t>Alphaflexiviridae</t>
  </si>
  <si>
    <t>Euphorbia leaf curl Guangxi virus</t>
  </si>
  <si>
    <t>Euphorbia leaf curl virus</t>
  </si>
  <si>
    <t>Euphorbia mosaic virus</t>
  </si>
  <si>
    <t>Tomato leaf curl Java virus</t>
  </si>
  <si>
    <t>Pepper mild mottle virus</t>
  </si>
  <si>
    <t>Ribgrass mosaic virus</t>
  </si>
  <si>
    <t>Sunn-hemp mosaic virus</t>
  </si>
  <si>
    <t>Tomato leaf curl Joydebpur virus</t>
  </si>
  <si>
    <t>Bafinivirus</t>
  </si>
  <si>
    <t>White bream virus</t>
  </si>
  <si>
    <t>Anelloviridae</t>
  </si>
  <si>
    <t>Alphatorquevirus</t>
  </si>
  <si>
    <t>Betatorquevirus</t>
  </si>
  <si>
    <t>Gammatorquevirus</t>
  </si>
  <si>
    <t>Deltatorquevirus</t>
  </si>
  <si>
    <t>Torque teno virus 4</t>
  </si>
  <si>
    <t>Torque teno virus 5</t>
  </si>
  <si>
    <t>Torque teno virus 6</t>
  </si>
  <si>
    <t>Torque teno virus 7</t>
  </si>
  <si>
    <t>Torque teno virus 8</t>
  </si>
  <si>
    <t>Torque teno virus 9</t>
  </si>
  <si>
    <t>Torque teno virus 10</t>
  </si>
  <si>
    <t>Torque teno virus 11</t>
  </si>
  <si>
    <t>Torque teno virus 12</t>
  </si>
  <si>
    <t>Torque teno virus 13</t>
  </si>
  <si>
    <t>Torque teno virus 14</t>
  </si>
  <si>
    <t>Torque teno virus 15</t>
  </si>
  <si>
    <t>Torque teno virus 16</t>
  </si>
  <si>
    <t>Torque teno virus 17</t>
  </si>
  <si>
    <t>Torque teno virus 18</t>
  </si>
  <si>
    <t>Torque teno virus 19</t>
  </si>
  <si>
    <t>Torque teno virus 20</t>
  </si>
  <si>
    <t>Torque teno virus 21</t>
  </si>
  <si>
    <t>Torque teno virus 22</t>
  </si>
  <si>
    <t>Torque teno virus 23</t>
  </si>
  <si>
    <t>Torque teno virus 24</t>
  </si>
  <si>
    <t>Mimosa yellow leaf curl virus</t>
  </si>
  <si>
    <t>Mungbean yellow mosaic India virus</t>
  </si>
  <si>
    <t>Mungbean yellow mosaic virus</t>
  </si>
  <si>
    <t>Okra yellow crinkle virus</t>
  </si>
  <si>
    <t>Okra yellow mosaic Mexico virus</t>
  </si>
  <si>
    <t>Papaya leaf curl China virus</t>
  </si>
  <si>
    <t>Papaya leaf curl Guandong virus</t>
  </si>
  <si>
    <t>Papaya leaf curl virus</t>
  </si>
  <si>
    <t>Pepper golden mosaic virus</t>
  </si>
  <si>
    <t>Pepper huasteco yellow vein virus</t>
  </si>
  <si>
    <t>Grapevine rupestris stem pitting-associated virus</t>
  </si>
  <si>
    <t>Mandarivirus</t>
  </si>
  <si>
    <t>Rice dwarf virus</t>
  </si>
  <si>
    <t>Rice gall dwarf virus</t>
  </si>
  <si>
    <t>Wound tumor virus</t>
  </si>
  <si>
    <t>Trichovirus</t>
  </si>
  <si>
    <t>Rotavirus A</t>
  </si>
  <si>
    <t>Rotavirus B</t>
  </si>
  <si>
    <t>Rotavirus C</t>
  </si>
  <si>
    <t>Rotavirus D</t>
  </si>
  <si>
    <t>Rotavirus E</t>
  </si>
  <si>
    <t>Seadornavirus</t>
  </si>
  <si>
    <t>Banna virus</t>
  </si>
  <si>
    <t>Kadipiro virus</t>
  </si>
  <si>
    <t>Liao ning virus</t>
  </si>
  <si>
    <t>Retroviridae</t>
  </si>
  <si>
    <t>Orthoretrovirinae</t>
  </si>
  <si>
    <t>Alpharetrovirus</t>
  </si>
  <si>
    <t>Kennedya yellow mosaic virus</t>
  </si>
  <si>
    <t>Melon rugose mosaic virus</t>
  </si>
  <si>
    <t>Nemesia ring necrosis virus</t>
  </si>
  <si>
    <t>Avian leukosis virus</t>
  </si>
  <si>
    <t>Passion fruit yellow mosaic virus</t>
  </si>
  <si>
    <t>Peanut yellow mosaic virus</t>
  </si>
  <si>
    <t>Petunia vein banding virus</t>
  </si>
  <si>
    <t>Physalis mottle virus</t>
  </si>
  <si>
    <t>Plantago mottle virus</t>
  </si>
  <si>
    <t>Miscanthus streak virus</t>
  </si>
  <si>
    <t>Panicum streak virus</t>
  </si>
  <si>
    <t>Sugarcane streak Egypt virus</t>
  </si>
  <si>
    <t>Sugarcane streak Reunion virus</t>
  </si>
  <si>
    <t>Sugarcane streak virus</t>
  </si>
  <si>
    <t>Tobacco yellow dwarf virus</t>
  </si>
  <si>
    <t>Wheat dwarf virus</t>
  </si>
  <si>
    <t>Topocuvirus</t>
  </si>
  <si>
    <t>Tomato pseudo-curly top virus</t>
  </si>
  <si>
    <t>Globuloviridae</t>
  </si>
  <si>
    <t>Globulovirus</t>
  </si>
  <si>
    <t>Pyrobaculum spherical virus</t>
  </si>
  <si>
    <t>Rhopalanthe virus Y</t>
  </si>
  <si>
    <t>Sarcochilus virus Y</t>
  </si>
  <si>
    <t>Scallion mosaic virus</t>
  </si>
  <si>
    <t>Shallot yellow stripe virus</t>
  </si>
  <si>
    <t>Tobacco vein banding mosaic virus</t>
  </si>
  <si>
    <t>Tobacco vein mottling virus</t>
  </si>
  <si>
    <t>Tradescantia mild mosaic virus</t>
  </si>
  <si>
    <t>Tuberose mild mosaic virus</t>
  </si>
  <si>
    <t>Tuberose mild mottle virus</t>
  </si>
  <si>
    <t>Tulip breaking virus</t>
  </si>
  <si>
    <t>Tulip mosaic virus</t>
  </si>
  <si>
    <t>Turnip mosaic virus</t>
  </si>
  <si>
    <t>Watermelon leaf mottle virus</t>
  </si>
  <si>
    <t>Watermelon mosaic virus</t>
  </si>
  <si>
    <t>Polemovirus</t>
  </si>
  <si>
    <t>Poinsettia latent virus</t>
  </si>
  <si>
    <t>Pomovirus</t>
  </si>
  <si>
    <t>Beet soil-borne virus</t>
  </si>
  <si>
    <t>Beet virus Q</t>
  </si>
  <si>
    <t>Broad bean necrosis virus</t>
  </si>
  <si>
    <t>Potato mop-top virus</t>
  </si>
  <si>
    <t>Rhizidiovirus</t>
  </si>
  <si>
    <t>Rhizidiomyces virus</t>
  </si>
  <si>
    <t>Batrachovirus</t>
  </si>
  <si>
    <t>Ranid herpesvirus 1</t>
  </si>
  <si>
    <t>Cotton leaf curl Multan virus</t>
  </si>
  <si>
    <t>Cowpea golden mosaic virus</t>
  </si>
  <si>
    <t>Allexivirus</t>
  </si>
  <si>
    <t>Garlic mite-borne filamentous virus</t>
  </si>
  <si>
    <t>Cotton leaf crumple virus</t>
  </si>
  <si>
    <t>Garlic virus D</t>
  </si>
  <si>
    <t>Garlic virus E</t>
  </si>
  <si>
    <t>Garlic virus X</t>
  </si>
  <si>
    <t>Shallot virus X</t>
  </si>
  <si>
    <t>Version:</t>
    <phoneticPr fontId="3" type="noConversion"/>
  </si>
  <si>
    <t>Apple stem grooving virus</t>
  </si>
  <si>
    <t>Cherry virus A</t>
  </si>
  <si>
    <t>Carlavirus</t>
  </si>
  <si>
    <t>Aconitum latent virus</t>
  </si>
  <si>
    <t>American hop latent virus</t>
  </si>
  <si>
    <t>Blueberry scorch virus</t>
  </si>
  <si>
    <t>Cactus virus 2</t>
  </si>
  <si>
    <t>Caper latent virus</t>
  </si>
  <si>
    <t>Obuda pepper virus</t>
  </si>
  <si>
    <t>Odontoglossum ringspot virus</t>
  </si>
  <si>
    <t>Paprika mild mottle virus</t>
  </si>
  <si>
    <t>Eupatorium yellow vein virus</t>
  </si>
  <si>
    <t>Gammacoronavirus</t>
  </si>
  <si>
    <t>Avian coronavirus</t>
  </si>
  <si>
    <t>Beluga whale coronavirus SW1</t>
  </si>
  <si>
    <t>Torovirinae</t>
  </si>
  <si>
    <t>East African cassava mosaic Cameroon virus</t>
  </si>
  <si>
    <t>East African cassava mosaic Kenya virus</t>
  </si>
  <si>
    <t>East African cassava mosaic Malawi virus</t>
  </si>
  <si>
    <t>East African cassava mosaic virus</t>
  </si>
  <si>
    <t>East African cassava mosaic Zanzibar virus</t>
  </si>
  <si>
    <t>Erectites yellow mosaic virus</t>
  </si>
  <si>
    <t>Tobamovirus</t>
  </si>
  <si>
    <t>Cucumber fruit mottle mosaic virus</t>
  </si>
  <si>
    <t>Cucumber green mottle mosaic virus</t>
  </si>
  <si>
    <t>Frangipani mosaic virus</t>
  </si>
  <si>
    <t>Hibiscus latent Fort Pierce virus</t>
  </si>
  <si>
    <t>Hibiscus latent Singapore virus</t>
  </si>
  <si>
    <t>Kyuri green mottle mosaic virus</t>
  </si>
  <si>
    <t>Tomato leaf curl Hsinchu virus</t>
  </si>
  <si>
    <t>Torque teno virus 25</t>
  </si>
  <si>
    <t>Torque teno virus 26</t>
  </si>
  <si>
    <t>Torque teno virus 27</t>
  </si>
  <si>
    <t>Torque teno virus 28</t>
  </si>
  <si>
    <t>Pepper leaf curl Lahore virus</t>
  </si>
  <si>
    <t>Pepper leaf curl virus</t>
  </si>
  <si>
    <t>Lily virus X</t>
  </si>
  <si>
    <t>Mint virus X</t>
  </si>
  <si>
    <t>Narcissus mosaic virus</t>
  </si>
  <si>
    <t>Nerine virus X</t>
  </si>
  <si>
    <t>Opuntia virus X</t>
  </si>
  <si>
    <t>Papaya mosaic virus</t>
  </si>
  <si>
    <t>Plum pox virus</t>
  </si>
  <si>
    <t>Betacoronavirus</t>
  </si>
  <si>
    <t>Murine coronavirus</t>
  </si>
  <si>
    <t>Betacoronavirus 1</t>
  </si>
  <si>
    <t>Tomato leaf curl Guangxi virus</t>
  </si>
  <si>
    <t>Tomato leaf curl Gujarat virus</t>
  </si>
  <si>
    <t>Coleviroid</t>
  </si>
  <si>
    <t>Coleus blumei viroid 1</t>
  </si>
  <si>
    <t>Coleus blumei viroid 2</t>
  </si>
  <si>
    <t>Coleus blumei viroid 3</t>
  </si>
  <si>
    <t>Hostuviroid</t>
  </si>
  <si>
    <t>Hop stunt viroid</t>
  </si>
  <si>
    <t>Pospiviroid</t>
  </si>
  <si>
    <t>Chrysanthemum stunt viroid</t>
  </si>
  <si>
    <t>Citrus exocortis viroid</t>
  </si>
  <si>
    <t>Columnea latent viroid</t>
  </si>
  <si>
    <t>Iresine viroid 1</t>
  </si>
  <si>
    <t>Potato spindle tuber viroid</t>
  </si>
  <si>
    <t>Tomato apical stunt viroid</t>
  </si>
  <si>
    <t>Tomato chlorotic dwarf viroid</t>
  </si>
  <si>
    <t>Tomato planta macho viroid</t>
  </si>
  <si>
    <t>Potyviridae</t>
  </si>
  <si>
    <t>Bymovirus</t>
  </si>
  <si>
    <t>Barley mild mosaic virus</t>
  </si>
  <si>
    <t>Barley yellow mosaic virus</t>
  </si>
  <si>
    <t>Sweet potato chlorotic stunt virus</t>
  </si>
  <si>
    <t>Tomato chlorosis virus</t>
  </si>
  <si>
    <t>Beet pseudoyellows virus</t>
  </si>
  <si>
    <t>Blackberry yellow vein-associated virus</t>
  </si>
  <si>
    <t>Torque teno tamarin virus</t>
  </si>
  <si>
    <t>Torque teno douroucouli virus</t>
  </si>
  <si>
    <t>Rabbit fibroma virus</t>
  </si>
  <si>
    <t>Squirrel fibroma virus</t>
  </si>
  <si>
    <t>Molluscipoxvirus</t>
  </si>
  <si>
    <t>Spartina mottle virus</t>
  </si>
  <si>
    <t>Sugarcane streak mosaic virus</t>
  </si>
  <si>
    <t>Leporipoxvirus</t>
  </si>
  <si>
    <t>Hare fibroma virus</t>
  </si>
  <si>
    <t>Myxoma virus</t>
  </si>
  <si>
    <t>Canarypox virus</t>
  </si>
  <si>
    <t>Fowlpox virus</t>
  </si>
  <si>
    <t>Juncopox virus</t>
  </si>
  <si>
    <t>Mynahpox virus</t>
  </si>
  <si>
    <t>Pigeonpox virus</t>
  </si>
  <si>
    <t>Psittacinepox virus</t>
  </si>
  <si>
    <t>Quailpox virus</t>
  </si>
  <si>
    <t>Sparrowpox virus</t>
  </si>
  <si>
    <t>Starlingpox virus</t>
  </si>
  <si>
    <t>Turkeypox virus</t>
  </si>
  <si>
    <t>Capripoxvirus</t>
  </si>
  <si>
    <t>Grapevine virus B</t>
  </si>
  <si>
    <t>Grapevine virus D</t>
  </si>
  <si>
    <t>Potato virus V</t>
  </si>
  <si>
    <t>Potato virus Y</t>
  </si>
  <si>
    <t>Ranunculus leaf distortion virus</t>
  </si>
  <si>
    <t>South African cassava mosaic virus</t>
  </si>
  <si>
    <t>Soybean blistering mosaic virus</t>
  </si>
  <si>
    <t>Spilanthes yellow vein virus</t>
  </si>
  <si>
    <t>Squash leaf curl China virus</t>
  </si>
  <si>
    <t>Squash leaf curl Philippines virus</t>
  </si>
  <si>
    <t>Squash leaf curl virus</t>
  </si>
  <si>
    <t>Squash leaf curl Yunnan virus</t>
  </si>
  <si>
    <t>Squash mild leaf curl virus</t>
  </si>
  <si>
    <t>Sri Lankan cassava mosaic virus</t>
  </si>
  <si>
    <t>Stachytarpheta leaf curl virus</t>
  </si>
  <si>
    <t>Sweet potato leaf curl Canary virus</t>
  </si>
  <si>
    <t>Sweet potato leaf curl China virus</t>
  </si>
  <si>
    <t>Sweet potato leaf curl Georgia virus</t>
  </si>
  <si>
    <t>Sweet potato leaf curl virus</t>
  </si>
  <si>
    <t>Tobacco curly shoot virus</t>
  </si>
  <si>
    <t>Henbane mosaic virus</t>
  </si>
  <si>
    <t>Hibbertia virus Y</t>
  </si>
  <si>
    <t>Hippeastrum mosaic virus</t>
  </si>
  <si>
    <t>Hyacinth mosaic virus</t>
  </si>
  <si>
    <t>Iris fulva mosaic virus</t>
  </si>
  <si>
    <t>Iris mild mosaic virus</t>
  </si>
  <si>
    <t>Iris severe mosaic virus</t>
  </si>
  <si>
    <t>Japanese yam mosaic virus</t>
  </si>
  <si>
    <t>Johnsongrass mosaic virus</t>
  </si>
  <si>
    <t>Konjac mosaic virus</t>
  </si>
  <si>
    <t>Leek yellow stripe virus</t>
  </si>
  <si>
    <t>Lettuce mosaic virus</t>
  </si>
  <si>
    <t>Lily mottle virus</t>
  </si>
  <si>
    <t>Lycoris mild mottle virus</t>
  </si>
  <si>
    <t>Abaca bunchy top virus</t>
  </si>
  <si>
    <t>Cardamom bushy dwarf virus</t>
  </si>
  <si>
    <t>Rose spring dwarf-associated virus</t>
  </si>
  <si>
    <t>Chickpea chlorotic stunt virus</t>
  </si>
  <si>
    <t>Melon aphid-borne yellows virus</t>
  </si>
  <si>
    <t>Brambyvirus</t>
  </si>
  <si>
    <t>Blackberry virus Y</t>
  </si>
  <si>
    <t>Emaravirus</t>
  </si>
  <si>
    <t>Omikronpapillomavirus</t>
  </si>
  <si>
    <t>Avsunviroidae</t>
  </si>
  <si>
    <t>Avsunviroid</t>
  </si>
  <si>
    <t>Avocado sunblotch viroid</t>
  </si>
  <si>
    <t>Elaviroid</t>
  </si>
  <si>
    <t>Eggplant latent viroid</t>
  </si>
  <si>
    <t>Pelamoviroid</t>
  </si>
  <si>
    <t>Chrysanthemum chlorotic mottle viroid</t>
  </si>
  <si>
    <t>Anguillid herpesvirus 1</t>
  </si>
  <si>
    <t>Munia coronavirus HKU13</t>
  </si>
  <si>
    <t>Banana streak MY virus</t>
  </si>
  <si>
    <t>Nootka lupine vein clearing virus</t>
  </si>
  <si>
    <t>Eragrostis streak virus</t>
  </si>
  <si>
    <t>Urochloa streak virus</t>
  </si>
  <si>
    <t>Miniopterus bat coronavirus 1</t>
  </si>
  <si>
    <t>Miniopterus bat coronavirus HKU8</t>
  </si>
  <si>
    <t>Rhinolophus bat coronavirus HKU2</t>
  </si>
  <si>
    <t>Scotophilus bat coronavirus 512</t>
  </si>
  <si>
    <t>Pipistrellus bat coronavirus HKU5</t>
  </si>
  <si>
    <t>Rousettus bat coronavirus HKU9</t>
  </si>
  <si>
    <t>Tylonycteris bat coronavirus HKU4</t>
  </si>
  <si>
    <t>Squash mosaic virus</t>
  </si>
  <si>
    <t>Ullucus virus C</t>
  </si>
  <si>
    <t>Broad bean wilt virus 1</t>
  </si>
  <si>
    <t>Broad bean wilt virus 2</t>
  </si>
  <si>
    <t>Gentian mosaic virus</t>
  </si>
  <si>
    <t>Mamastrovirus</t>
  </si>
  <si>
    <t>Artichoke Aegean ringspot virus</t>
  </si>
  <si>
    <t>Artichoke Italian latent virus</t>
  </si>
  <si>
    <t>Artichoke yellow ringspot virus</t>
  </si>
  <si>
    <t>Beet ringspot virus</t>
  </si>
  <si>
    <t>Blackcurrant reversion virus</t>
  </si>
  <si>
    <t>Blueberry leaf mottle virus</t>
  </si>
  <si>
    <t>Cassava American latent virus</t>
  </si>
  <si>
    <t>Cassava green mottle virus</t>
  </si>
  <si>
    <t>Maclura mosaic virus</t>
  </si>
  <si>
    <t>Narcissus latent virus</t>
  </si>
  <si>
    <t>Potyvirus</t>
  </si>
  <si>
    <t>Alstroemeria mosaic virus</t>
  </si>
  <si>
    <t>Amaranthus leaf mottle virus</t>
  </si>
  <si>
    <t>Amazon lily mosaic virus</t>
  </si>
  <si>
    <t>Apium virus Y</t>
  </si>
  <si>
    <t>Araujia mosaic virus</t>
  </si>
  <si>
    <t>Artichoke latent virus</t>
  </si>
  <si>
    <t>Asparagus virus 1</t>
  </si>
  <si>
    <t>Banana bract mosaic virus</t>
  </si>
  <si>
    <t>Basella rugose mosaic virus</t>
  </si>
  <si>
    <t>Bean common mosaic necrosis virus</t>
  </si>
  <si>
    <t>Bean common mosaic virus</t>
  </si>
  <si>
    <t>Bean yellow mosaic virus</t>
  </si>
  <si>
    <t>Beet mosaic virus</t>
  </si>
  <si>
    <t>Bidens mottle virus</t>
  </si>
  <si>
    <t>Apanteles fumiferanae bracovirus</t>
  </si>
  <si>
    <t>Ascogaster argentifrons bracovirus</t>
  </si>
  <si>
    <t>Ascogaster quadridentata bracovirus</t>
  </si>
  <si>
    <t>Cardiochiles nigriceps bracovirus</t>
  </si>
  <si>
    <t>Cotesia marginiventris bracovirus</t>
  </si>
  <si>
    <t>Cotesia melanoscela bracovirus</t>
  </si>
  <si>
    <t>Cotesia rubecula bracovirus</t>
  </si>
  <si>
    <t>Bracovirus</t>
  </si>
  <si>
    <t>Cotesia congregata bracovirus</t>
  </si>
  <si>
    <t>Cotesia flavipes bracovirus</t>
  </si>
  <si>
    <t>Carrot temperate virus 2</t>
  </si>
  <si>
    <t>Hop trefoil cryptic virus 2</t>
  </si>
  <si>
    <t>Red clover cryptic virus 2</t>
  </si>
  <si>
    <t>White clover cryptic virus 2</t>
  </si>
  <si>
    <t>Agaricus bisporus virus 4</t>
  </si>
  <si>
    <t>Aspergillus ochraceous virus</t>
  </si>
  <si>
    <t>Cotesia schaeferi bracovirus</t>
  </si>
  <si>
    <t>Diolcogaster facetosa bracovirus</t>
  </si>
  <si>
    <t>Tranosema rostrale bracovirus</t>
  </si>
  <si>
    <t>Ichnovirus</t>
  </si>
  <si>
    <t>Enterovirus</t>
  </si>
  <si>
    <t>Plodia interpunctella granulovirus</t>
  </si>
  <si>
    <t>Plutella xylostella granulovirus</t>
  </si>
  <si>
    <t>Erbovirus</t>
  </si>
  <si>
    <t>Hepatovirus</t>
  </si>
  <si>
    <t>Kobuvirus</t>
  </si>
  <si>
    <t>Culex nigripalpus nucleopolyhedrovirus</t>
  </si>
  <si>
    <t>Gammabaculovirus</t>
  </si>
  <si>
    <t>Neodiprion lecontei nucleopolyhedrovirus</t>
  </si>
  <si>
    <t>Sequivirus</t>
  </si>
  <si>
    <t>Dandelion yellow mosaic virus</t>
  </si>
  <si>
    <t>Anthriscus yellows virus</t>
  </si>
  <si>
    <t>Maize chlorotic dwarf virus</t>
  </si>
  <si>
    <t>Cheravirus</t>
  </si>
  <si>
    <t>Apple latent spherical virus</t>
  </si>
  <si>
    <t>Cherry rasp leaf virus</t>
  </si>
  <si>
    <t>Stocky prune virus</t>
  </si>
  <si>
    <t>Pennisetum mosaic virus</t>
  </si>
  <si>
    <t>Pepper mottle virus</t>
  </si>
  <si>
    <t>Pepper severe mosaic virus</t>
  </si>
  <si>
    <t>Pepper veinal mottle virus</t>
  </si>
  <si>
    <t>Pepper yellow mosaic virus</t>
  </si>
  <si>
    <t>Peru tomato mosaic virus</t>
  </si>
  <si>
    <t>Pfaffia mosaic virus</t>
  </si>
  <si>
    <t>Pleione virus Y</t>
  </si>
  <si>
    <t>Bicaudaviridae</t>
  </si>
  <si>
    <t>Bicaudavirus</t>
  </si>
  <si>
    <t>Acidianus two-tailed virus</t>
  </si>
  <si>
    <t>Spring beauty latent virus</t>
  </si>
  <si>
    <t>Cucumovirus</t>
  </si>
  <si>
    <t>Cucumber mosaic virus</t>
  </si>
  <si>
    <t>Paramecium bursaria Chlorella virus CA4A</t>
  </si>
  <si>
    <t>Paramecium bursaria Chlorella virus CA4B</t>
  </si>
  <si>
    <t>Paramecium bursaria Chlorella virus IL3A</t>
  </si>
  <si>
    <t>Acidianus filamentous virus 7</t>
  </si>
  <si>
    <t>Acidianus filamentous virus 6</t>
  </si>
  <si>
    <t>Acidianus filamentous virus 3</t>
  </si>
  <si>
    <t>Picovirinae</t>
  </si>
  <si>
    <t>Heliothis virescens ascovirus 3a</t>
  </si>
  <si>
    <t>Spodoptera frugiperda ascovirus 1a</t>
  </si>
  <si>
    <t>Anomala cuprea entomopoxvirus</t>
  </si>
  <si>
    <t>Aphodius tasmaniae entomopoxvirus</t>
  </si>
  <si>
    <t>Asfarviridae</t>
  </si>
  <si>
    <t>Asfivirus</t>
  </si>
  <si>
    <t>African swine fever virus</t>
  </si>
  <si>
    <t>Astroviridae</t>
  </si>
  <si>
    <t>Avastrovirus</t>
  </si>
  <si>
    <t>Melolontha melolontha entomopoxvirus</t>
  </si>
  <si>
    <t>Betaentomopoxvirus</t>
  </si>
  <si>
    <t>Thermoproteus tenax spherical virus 1</t>
  </si>
  <si>
    <t>Horseradish curly top virus</t>
  </si>
  <si>
    <t>Mastrevirus</t>
  </si>
  <si>
    <t>Drosophila melanogaster Gypsy virus</t>
  </si>
  <si>
    <t>Drosophila melanogaster Idefix virus</t>
  </si>
  <si>
    <t>Drosophila melanogaster Tirant virus</t>
  </si>
  <si>
    <t>Drosophila melanogaster Zam virus</t>
  </si>
  <si>
    <t>Drosophila virilis Tv1 virus</t>
  </si>
  <si>
    <t>Siadenovirus</t>
  </si>
  <si>
    <t>Japanese iris necrotic ring virus</t>
  </si>
  <si>
    <t>Melon necrotic spot virus</t>
  </si>
  <si>
    <t>Equine torovirus</t>
  </si>
  <si>
    <t>Cytomegalovirus</t>
  </si>
  <si>
    <t>Muromegalovirus</t>
  </si>
  <si>
    <t>Andean potato mottle virus</t>
  </si>
  <si>
    <t>Bean pod mottle virus</t>
  </si>
  <si>
    <t>Bean rugose mosaic virus</t>
  </si>
  <si>
    <t>Broad bean stain virus</t>
  </si>
  <si>
    <t>Cowpea severe mosaic virus</t>
  </si>
  <si>
    <t>UR2 sarcoma virus</t>
  </si>
  <si>
    <t>Y73 sarcoma virus</t>
  </si>
  <si>
    <t>Betaretrovirus</t>
  </si>
  <si>
    <t>Adoxophyes honmai nucleopolyhedrovirus</t>
  </si>
  <si>
    <t>Agrotis ipsilon multiple nucleopolyhedrovirus</t>
  </si>
  <si>
    <t>Autographa californica multiple nucleopolyhedrovirus</t>
  </si>
  <si>
    <t>Bombyx mori nucleopolyhedrovirus</t>
  </si>
  <si>
    <t>Buzura suppressaria nucleopolyhedrovirus</t>
  </si>
  <si>
    <t>Choristoneura fumiferana DEF multiple nucleopolyhedrovirus</t>
  </si>
  <si>
    <t>Phlebovirus</t>
  </si>
  <si>
    <t>Mamestra brassicae multiple nucleopolyhedrovirus</t>
  </si>
  <si>
    <t>Mamestra configurata nucleopolyhedrovirus A</t>
  </si>
  <si>
    <t>Mamestra configurata nucleopolyhedrovirus B</t>
  </si>
  <si>
    <t>Orgyia pseudotsugata multiple nucleopolyhedrovirus</t>
  </si>
  <si>
    <t>Spodoptera exigua multiple nucleopolyhedrovirus</t>
  </si>
  <si>
    <t>Equine rhinitis A virus</t>
  </si>
  <si>
    <t>Harrisina brillians granulovirus</t>
  </si>
  <si>
    <t>Cryptophlebia leucotreta granulovirus</t>
  </si>
  <si>
    <t>Cydia pomonella granulovirus</t>
  </si>
  <si>
    <t>Saccharomyces cerevisiae Ty4 virus</t>
  </si>
  <si>
    <t>Helicoverpa armigera granulovirus</t>
  </si>
  <si>
    <t>Botrexvirus</t>
  </si>
  <si>
    <t>Sirevirus</t>
  </si>
  <si>
    <t>Arabidopsis thaliana Endovir virus</t>
  </si>
  <si>
    <t>Glycine max SIRE1 virus</t>
  </si>
  <si>
    <t>Lycopersicon esculentum ToRTL1 virus</t>
  </si>
  <si>
    <t>Phnom Penh bat virus</t>
  </si>
  <si>
    <t>Powassan virus</t>
  </si>
  <si>
    <t>Rio Bravo virus</t>
  </si>
  <si>
    <t>Royal Farm virus</t>
  </si>
  <si>
    <t>Saboya virus</t>
  </si>
  <si>
    <t>Sal Vieja virus</t>
  </si>
  <si>
    <t>San Perlita virus</t>
  </si>
  <si>
    <t>Aquareovirus</t>
  </si>
  <si>
    <t>Aquareovirus A</t>
  </si>
  <si>
    <t>Aquareovirus B</t>
  </si>
  <si>
    <t>Aquareovirus C</t>
  </si>
  <si>
    <t>Aquareovirus D</t>
  </si>
  <si>
    <t>Aquareovirus E</t>
  </si>
  <si>
    <t>Aquareovirus F</t>
  </si>
  <si>
    <t>Aquareovirus G</t>
  </si>
  <si>
    <t>Cardoreovirus</t>
  </si>
  <si>
    <t>Eriocheir sinensis reovirus</t>
  </si>
  <si>
    <t>Coltivirus</t>
  </si>
  <si>
    <t>Colorado tick fever virus</t>
  </si>
  <si>
    <t>Eyach virus</t>
  </si>
  <si>
    <t>Cypovirus</t>
  </si>
  <si>
    <t>Kirsten murine sarcoma virus</t>
  </si>
  <si>
    <t>Mirabilis mosaic virus</t>
  </si>
  <si>
    <t>Strawberry vein banding virus</t>
  </si>
  <si>
    <t>Thistle mottle virus</t>
  </si>
  <si>
    <t>Cavemovirus</t>
  </si>
  <si>
    <t>Cassava vein mosaic virus</t>
  </si>
  <si>
    <t>Tobacco vein clearing virus</t>
  </si>
  <si>
    <t>Petuvirus</t>
  </si>
  <si>
    <t>Alfamovirus</t>
  </si>
  <si>
    <t>Alfalfa mosaic virus</t>
  </si>
  <si>
    <t>Anulavirus</t>
  </si>
  <si>
    <t>Pelargonium zonate spot virus</t>
  </si>
  <si>
    <t>Bromovirus</t>
  </si>
  <si>
    <t>Broad bean mottle virus</t>
  </si>
  <si>
    <t>Brome mosaic virus</t>
  </si>
  <si>
    <t>Cassia yellow blotch virus</t>
  </si>
  <si>
    <t>Rice tungro bacilliform virus</t>
  </si>
  <si>
    <t>Chrysoviridae</t>
  </si>
  <si>
    <t>Chrysovirus</t>
  </si>
  <si>
    <t>Helminthosporium victoriae 145S virus</t>
  </si>
  <si>
    <t>Penicillium brevicompactum virus</t>
  </si>
  <si>
    <t>Penicillium chrysogenum virus</t>
  </si>
  <si>
    <t>Circoviridae</t>
  </si>
  <si>
    <t>Circovirus</t>
  </si>
  <si>
    <t>Pigeon circovirus</t>
  </si>
  <si>
    <t>Duck circovirus</t>
  </si>
  <si>
    <t>Citrus variegation virus</t>
  </si>
  <si>
    <t>Elm mottle virus</t>
  </si>
  <si>
    <t>Fragaria chiloensis latent virus</t>
  </si>
  <si>
    <t>Humulus japonicus latent virus</t>
  </si>
  <si>
    <t>Lilac ring mottle virus</t>
  </si>
  <si>
    <t>Yaba monkey tumor virus</t>
  </si>
  <si>
    <t>Yatapoxvirus</t>
  </si>
  <si>
    <t>Tanapox virus</t>
  </si>
  <si>
    <t>Entomopoxvirinae</t>
  </si>
  <si>
    <t>Victorivirus</t>
  </si>
  <si>
    <t>Tonate virus</t>
  </si>
  <si>
    <t>Trocara virus</t>
  </si>
  <si>
    <t>Una virus</t>
  </si>
  <si>
    <t>Helicobasidium mompa totivirus 1-17</t>
  </si>
  <si>
    <t>Magnaporthe oryzae virus 1</t>
  </si>
  <si>
    <t>Sphaeropsis sapinea RNA virus 1</t>
  </si>
  <si>
    <t>Sphaeropsis sapinea RNA virus 2</t>
  </si>
  <si>
    <t>Ceratocystis resinifera virus 1</t>
  </si>
  <si>
    <t>Tombusviridae</t>
  </si>
  <si>
    <t>Aureusvirus</t>
  </si>
  <si>
    <t>Cucumber leaf spot virus</t>
  </si>
  <si>
    <t>Pothos latent virus</t>
  </si>
  <si>
    <t>Avenavirus</t>
  </si>
  <si>
    <t>Oat chlorotic stunt virus</t>
  </si>
  <si>
    <t>Ahlum waterborne virus</t>
  </si>
  <si>
    <t>Angelonia flower break virus</t>
  </si>
  <si>
    <t>Bean mild mosaic virus</t>
  </si>
  <si>
    <t>Cardamine chlorotic fleck virus</t>
  </si>
  <si>
    <t>Carnation mottle virus</t>
  </si>
  <si>
    <t>Mouse mammary tumor virus</t>
  </si>
  <si>
    <t>Squirrel monkey retrovirus</t>
  </si>
  <si>
    <t>Deltaretrovirus</t>
  </si>
  <si>
    <t>Jaagsiekte sheep retrovirus</t>
  </si>
  <si>
    <t>Langur virus</t>
  </si>
  <si>
    <t>Mason-Pfizer monkey virus</t>
  </si>
  <si>
    <t>Primate T-lymphotropic virus 3</t>
  </si>
  <si>
    <t>Epsilonretrovirus</t>
  </si>
  <si>
    <t>Walleye dermal sarcoma virus</t>
  </si>
  <si>
    <t>Walleye epidermal hyperplasia virus 1</t>
  </si>
  <si>
    <t>Walleye epidermal hyperplasia virus 2</t>
  </si>
  <si>
    <t>Gammaretrovirus</t>
  </si>
  <si>
    <t>Chick syncytial virus</t>
  </si>
  <si>
    <t>Feline leukemia virus</t>
  </si>
  <si>
    <t>Finkel-Biskis-Jinkins murine sarcoma virus</t>
  </si>
  <si>
    <t>Spodoptera frugiperda multiple nucleopolyhedrovirus</t>
  </si>
  <si>
    <t>Spodoptera littoralis nucleopolyhedrovirus</t>
  </si>
  <si>
    <t>Spodoptera litura nucleopolyhedrovirus</t>
  </si>
  <si>
    <t>Thysanoplusia orichalcea nucleopolyhedrovirus</t>
  </si>
  <si>
    <t>Trichoplusia ni single nucleopolyhedrovirus</t>
  </si>
  <si>
    <t>Tomato yellow leaf curl Sardinia virus</t>
  </si>
  <si>
    <t>Tomato yellow leaf curl Thailand virus</t>
  </si>
  <si>
    <t>Tomato yellow leaf curl Vietnam virus</t>
  </si>
  <si>
    <t>Senecio yellow mosaic virus</t>
  </si>
  <si>
    <t>Sida golden mosaic Costa Rica virus</t>
  </si>
  <si>
    <t>Sida golden mosaic Florida virus</t>
  </si>
  <si>
    <t>Sida golden mosaic virus</t>
  </si>
  <si>
    <t>Sida golden yellow vein virus</t>
  </si>
  <si>
    <t>Sida leaf curl virus</t>
  </si>
  <si>
    <t>Sida micrantha mosaic virus</t>
  </si>
  <si>
    <t>Sida mottle virus</t>
  </si>
  <si>
    <t>Sida yellow mosaic China virus</t>
  </si>
  <si>
    <t>Sida yellow mosaic virus</t>
  </si>
  <si>
    <t>Influenza B virus</t>
  </si>
  <si>
    <t>Influenza C virus</t>
  </si>
  <si>
    <t>Isavirus</t>
  </si>
  <si>
    <t>Thogotovirus</t>
  </si>
  <si>
    <t>Papillomaviridae</t>
  </si>
  <si>
    <t>Alphapapillomavirus</t>
  </si>
  <si>
    <t>Paramecium bursaria Chlorella virus NC1A</t>
  </si>
  <si>
    <t>Paramecium bursaria Chlorella virus XZ4A</t>
  </si>
  <si>
    <t>Paramecium bursaria Chlorella virus XZ4C</t>
  </si>
  <si>
    <t>Coccolithovirus</t>
  </si>
  <si>
    <t>Paramecium bursaria Chlorella virus SC1A</t>
  </si>
  <si>
    <t>Paramecium bursaria Chlorella virus XY6E</t>
  </si>
  <si>
    <t>Wheat spindle streak mosaic virus</t>
  </si>
  <si>
    <t>Wheat yellow mosaic virus</t>
  </si>
  <si>
    <t>Ipomovirus</t>
  </si>
  <si>
    <t>Epsilonpapillomavirus</t>
  </si>
  <si>
    <t>Omegatetravirus</t>
  </si>
  <si>
    <t>Dendrolimus punctatus virus</t>
  </si>
  <si>
    <t>Helicoverpa armigera stunt virus</t>
  </si>
  <si>
    <t>Nudaurelia capensis omega virus</t>
  </si>
  <si>
    <t>Togaviridae</t>
  </si>
  <si>
    <t>Alphavirus</t>
  </si>
  <si>
    <t>Aura virus</t>
  </si>
  <si>
    <t>Barmah Forest virus</t>
  </si>
  <si>
    <t>Bebaru virus</t>
  </si>
  <si>
    <t>Cabassou virus</t>
  </si>
  <si>
    <t>Chikungunya virus</t>
  </si>
  <si>
    <t>Eastern equine encephalitis virus</t>
  </si>
  <si>
    <t>Everglades virus</t>
  </si>
  <si>
    <t>Fort Morgan virus</t>
  </si>
  <si>
    <t>Getah virus</t>
  </si>
  <si>
    <t>Highlands J virus</t>
  </si>
  <si>
    <t>Mayaro virus</t>
  </si>
  <si>
    <t>Middelburg virus</t>
  </si>
  <si>
    <t>Mucambo virus</t>
  </si>
  <si>
    <t>Ndumu virus</t>
  </si>
  <si>
    <t>Pixuna virus</t>
  </si>
  <si>
    <t>Tomato leaf curl Karnataka virus</t>
  </si>
  <si>
    <t>Betapapillomavirus</t>
  </si>
  <si>
    <t>Picobirnaviridae</t>
  </si>
  <si>
    <t>Picobirnavirus</t>
  </si>
  <si>
    <t>Human picobirnavirus</t>
  </si>
  <si>
    <t>Rabbit picobirnavirus</t>
  </si>
  <si>
    <t>Tomato yellow leaf curl Indonesia virus</t>
  </si>
  <si>
    <t>Tomato yellow leaf curl Kanchanaburi virus</t>
  </si>
  <si>
    <t>Beet black scorch virus</t>
  </si>
  <si>
    <t>Chenopodium necrosis virus</t>
  </si>
  <si>
    <t>Leek white stripe virus</t>
  </si>
  <si>
    <t>Olive latent virus 1</t>
  </si>
  <si>
    <t>Olive mild mosaic virus</t>
  </si>
  <si>
    <t>Tobacco necrosis virus A</t>
  </si>
  <si>
    <t>Hop trefoil cryptic virus 1</t>
  </si>
  <si>
    <t>Hop trefoil cryptic virus 3</t>
  </si>
  <si>
    <t>Radish yellow edge virus</t>
  </si>
  <si>
    <t>Ryegrass cryptic virus</t>
  </si>
  <si>
    <t>Spinach temperate virus</t>
  </si>
  <si>
    <t>Vicia cryptic virus</t>
  </si>
  <si>
    <t>White clover cryptic virus 1</t>
  </si>
  <si>
    <t>White clover cryptic virus 3</t>
  </si>
  <si>
    <t>Petunia asteroid mosaic virus</t>
  </si>
  <si>
    <t>Glyptapanteles flavicoxis bracovirus</t>
  </si>
  <si>
    <t>Maize dwarf mosaic virus</t>
  </si>
  <si>
    <t>Meadow saffron breaking virus</t>
  </si>
  <si>
    <t>Moroccan watermelon mosaic virus</t>
  </si>
  <si>
    <t>Microplitis demolitor bracovirus</t>
  </si>
  <si>
    <t>Penicillium stoloniferum virus S</t>
  </si>
  <si>
    <t>Rhizoctonia solani virus 717</t>
  </si>
  <si>
    <t>Nothoscordum mosaic virus</t>
  </si>
  <si>
    <t>Onion yellow dwarf virus</t>
  </si>
  <si>
    <t>Ornithogalum mosaic virus</t>
  </si>
  <si>
    <t>Campoletis flavicincta ichnovirus</t>
  </si>
  <si>
    <t>Campoletis sonorensis ichnovirus</t>
  </si>
  <si>
    <t>Casinaria arjuna ichnovirus</t>
  </si>
  <si>
    <t>Gremmeniella abietina RNA virus MS1</t>
  </si>
  <si>
    <t>Podoviridae</t>
  </si>
  <si>
    <t>Siphoviridae</t>
  </si>
  <si>
    <t>Herpesvirales</t>
  </si>
  <si>
    <t>Alloherpesviridae</t>
  </si>
  <si>
    <t>Ictalurid herpesvirus 1</t>
  </si>
  <si>
    <t>Unassigned</t>
  </si>
  <si>
    <t>Cyprinid herpesvirus 3</t>
  </si>
  <si>
    <t>Herpesviridae</t>
  </si>
  <si>
    <t>Alphaherpesvirinae</t>
  </si>
  <si>
    <t>Iltovirus</t>
  </si>
  <si>
    <t>Influenza A virus</t>
  </si>
  <si>
    <t>Quail pea mosaic virus</t>
  </si>
  <si>
    <t>Radish mosaic virus</t>
  </si>
  <si>
    <t>Emiliania huxleyi virus 86</t>
  </si>
  <si>
    <t>Phaeovirus</t>
  </si>
  <si>
    <t>Ectocarpus fasciculatus virus a</t>
  </si>
  <si>
    <t>Rice necrosis mosaic virus</t>
  </si>
  <si>
    <t>Lamium mild mosaic virus</t>
  </si>
  <si>
    <t>Apricot latent ringspot virus</t>
  </si>
  <si>
    <t>Arabis mosaic virus</t>
  </si>
  <si>
    <t>Arracacha virus A</t>
  </si>
  <si>
    <t>Cassava brown streak virus</t>
  </si>
  <si>
    <t>Cucumber vein yellowing virus</t>
  </si>
  <si>
    <t>Squash vein yellowing virus</t>
  </si>
  <si>
    <t>Sweet potato mild mottle virus</t>
  </si>
  <si>
    <t>Macluravirus</t>
  </si>
  <si>
    <t>Alpinia mosaic virus</t>
  </si>
  <si>
    <t>Cardamom mosaic virus</t>
  </si>
  <si>
    <t>Chinese yam necrotic mosaic virus</t>
  </si>
  <si>
    <t>Etapapillomavirus</t>
  </si>
  <si>
    <t>Gammapapillomavirus</t>
  </si>
  <si>
    <t>Ectocarpus siliculosus virus 1</t>
  </si>
  <si>
    <t>Ectocarpus siliculosus virus a</t>
  </si>
  <si>
    <t>Feldmannia irregularis virus a</t>
  </si>
  <si>
    <t>Feldmannia species virus</t>
  </si>
  <si>
    <t>Feldmannia species virus a</t>
  </si>
  <si>
    <t>Hincksia hinckiae virus a</t>
  </si>
  <si>
    <t>Myriotrichia clavaeformis virus a</t>
  </si>
  <si>
    <t>Pilayella littoralis virus 1</t>
  </si>
  <si>
    <t>Prasinovirus</t>
  </si>
  <si>
    <t>Micromonas pusilla virus SP1</t>
  </si>
  <si>
    <t>Prymnesiovirus</t>
  </si>
  <si>
    <t>Chrysochromulina brevifilum virus PW1</t>
  </si>
  <si>
    <t>Raphidovirus</t>
  </si>
  <si>
    <t>Heterosigma akashiwo virus 01</t>
  </si>
  <si>
    <t>Chelonus altitudinis bracovirus</t>
  </si>
  <si>
    <t>Chelonus blackburni bracovirus</t>
  </si>
  <si>
    <t>Chelonus inanitus bracovirus</t>
  </si>
  <si>
    <t>Chelonus insularis bracovirus</t>
  </si>
  <si>
    <t>Plasmaviridae</t>
  </si>
  <si>
    <t>Plasmavirus</t>
  </si>
  <si>
    <t>Polydnaviridae</t>
  </si>
  <si>
    <t>Apanteles crassicornis bracovirus</t>
  </si>
  <si>
    <t>Alfalfa cryptic virus 1</t>
  </si>
  <si>
    <t>Beet cryptic virus 1</t>
  </si>
  <si>
    <t>Beet cryptic virus 2</t>
  </si>
  <si>
    <t>Beet cryptic virus 3</t>
  </si>
  <si>
    <t>Carnation cryptic virus 1</t>
  </si>
  <si>
    <t>Carrot temperate virus 1</t>
  </si>
  <si>
    <t>Carrot temperate virus 3</t>
  </si>
  <si>
    <t>Carrot temperate virus 4</t>
  </si>
  <si>
    <t>Phanerotoma flavitestacea bracovirus</t>
  </si>
  <si>
    <t>Pholetesor ornigis bracovirus</t>
  </si>
  <si>
    <t>Glyptapanteles indiensis bracovirus</t>
  </si>
  <si>
    <t>Glyptapanteles liparidis bracovirus</t>
  </si>
  <si>
    <t>Campoletis aprilis ichnovirus</t>
  </si>
  <si>
    <t>Narcissus degeneration virus</t>
  </si>
  <si>
    <t>Narcissus late season yellows virus</t>
  </si>
  <si>
    <t>Narcissus yellow stripe virus</t>
  </si>
  <si>
    <t>Nerine yellow stripe virus</t>
  </si>
  <si>
    <t>Parechovirus</t>
  </si>
  <si>
    <t>Teschovirus</t>
  </si>
  <si>
    <t>Ornithogalum virus 2</t>
  </si>
  <si>
    <t>Ornithogalum virus 3</t>
  </si>
  <si>
    <t>Papaya leaf distortion mosaic virus</t>
  </si>
  <si>
    <t>Papaya ringspot virus</t>
  </si>
  <si>
    <t>Parsnip mosaic virus</t>
  </si>
  <si>
    <t>Passiflora chlorosis virus</t>
  </si>
  <si>
    <t>Passion fruit woodiness virus</t>
  </si>
  <si>
    <t>Pea seed-borne mosaic virus</t>
  </si>
  <si>
    <t>Peanut mottle virus</t>
  </si>
  <si>
    <t>Casinaria forcipata ichnovirus</t>
  </si>
  <si>
    <t>Casinaria infesta ichnovirus</t>
  </si>
  <si>
    <t>Diadegma acronyctae ichnovirus</t>
  </si>
  <si>
    <t>Diadegma interruptum ichnovirus</t>
  </si>
  <si>
    <t>Diadegma terebrans ichnovirus</t>
  </si>
  <si>
    <t>Enytus montanus ichnovirus</t>
  </si>
  <si>
    <t>Eriborus terebrans ichnovirus</t>
  </si>
  <si>
    <t>Glypta fumiferanae ichnovirus</t>
  </si>
  <si>
    <t>Hyposoter annulipes ichnovirus</t>
  </si>
  <si>
    <t>Hyposoter exiguae ichnovirus</t>
  </si>
  <si>
    <t>Hyposoter fugitivus ichnovirus</t>
  </si>
  <si>
    <t>Hyposoter lymantriae ichnovirus</t>
  </si>
  <si>
    <t>Hyposoter pilosulus ichnovirus</t>
  </si>
  <si>
    <t>Hyposoter rivalis ichnovirus</t>
  </si>
  <si>
    <t>Olesicampe benefactor ichnovirus</t>
  </si>
  <si>
    <t>Olesicampe geniculatae ichnovirus</t>
  </si>
  <si>
    <t>Synetaeris tenuifemur ichnovirus</t>
  </si>
  <si>
    <t>Polyomaviridae</t>
  </si>
  <si>
    <t>Paramecium bursaria Chlorella virus AL2A</t>
  </si>
  <si>
    <t>Paramecium bursaria Chlorella virus BJ2C</t>
  </si>
  <si>
    <t>Senecavirus</t>
  </si>
  <si>
    <t>Tremovirus</t>
  </si>
  <si>
    <t>Iguanid herpesvirus 2</t>
  </si>
  <si>
    <t>Ostreavirus</t>
  </si>
  <si>
    <t>Ostreid herpesvirus 1</t>
  </si>
  <si>
    <t>Mononegavirales</t>
  </si>
  <si>
    <t>Ichtadenovirus</t>
  </si>
  <si>
    <t>Salterprovirus</t>
  </si>
  <si>
    <t>His 1 virus</t>
  </si>
  <si>
    <t>Sobemovirus</t>
  </si>
  <si>
    <t>Blueberry shoestring virus</t>
  </si>
  <si>
    <t>Cocksfoot mottle virus</t>
  </si>
  <si>
    <t>Lucerne transient streak virus</t>
  </si>
  <si>
    <t>Rice yellow mottle virus</t>
  </si>
  <si>
    <t>Ryegrass mottle virus</t>
  </si>
  <si>
    <t>Plectrovirus</t>
  </si>
  <si>
    <t>Cryphonectria mitovirus 1</t>
  </si>
  <si>
    <t>Ophiostoma mitovirus 3a</t>
  </si>
  <si>
    <t>Ophiostoma mitovirus 4</t>
  </si>
  <si>
    <t>Ophiostoma mitovirus 5</t>
  </si>
  <si>
    <t>Ophiostoma mitovirus 6</t>
  </si>
  <si>
    <t>Narnavirus</t>
  </si>
  <si>
    <t>Saccharomyces 20S RNA narnavirus</t>
  </si>
  <si>
    <t>Invertebrate iridescent virus 6</t>
  </si>
  <si>
    <t>Lymphocystivirus</t>
  </si>
  <si>
    <t>Lymphocystis disease virus 1</t>
  </si>
  <si>
    <t>Megalocytivirus</t>
  </si>
  <si>
    <t>Infectious spleen and kidney necrosis virus</t>
  </si>
  <si>
    <t>Ranavirus</t>
  </si>
  <si>
    <t>Ambystoma tigrinum virus</t>
  </si>
  <si>
    <t>Bohle iridovirus</t>
  </si>
  <si>
    <t>Iridovirus</t>
  </si>
  <si>
    <t>Invertebrate iridescent virus 1</t>
  </si>
  <si>
    <t>Triatoma virus</t>
  </si>
  <si>
    <t>Acute bee paralysis virus</t>
  </si>
  <si>
    <t>Kashmir bee virus</t>
  </si>
  <si>
    <t>Taura syndrome virus</t>
  </si>
  <si>
    <t>Dicistroviridae</t>
  </si>
  <si>
    <t>Cripavirus</t>
  </si>
  <si>
    <t>Aphid lethal paralysis virus</t>
  </si>
  <si>
    <t>Black queen cell virus</t>
  </si>
  <si>
    <t>Cricket paralysis virus</t>
  </si>
  <si>
    <t>Drosophila C virus</t>
  </si>
  <si>
    <t>Plautia stali intestine virus</t>
  </si>
  <si>
    <t>Rhopalosiphum padi virus</t>
  </si>
  <si>
    <t>Aphthovirus</t>
  </si>
  <si>
    <t>Tobacco mottle virus</t>
  </si>
  <si>
    <t>Order</t>
  </si>
  <si>
    <t>Tomato yellow margin leaf curl virus</t>
  </si>
  <si>
    <t>Tomato yellow spot virus</t>
  </si>
  <si>
    <t>Tomato yellow vein streak virus</t>
  </si>
  <si>
    <t>Errantivirus</t>
  </si>
  <si>
    <t>Ceratitis capitata Yoyo virus</t>
  </si>
  <si>
    <t>Drosophila ananassae Tom virus</t>
  </si>
  <si>
    <t>Drosophila melanogaster 297 virus</t>
  </si>
  <si>
    <t>Iotapapillomavirus</t>
  </si>
  <si>
    <t>Trichoplusia ni TED virus</t>
  </si>
  <si>
    <t>Metavirus</t>
  </si>
  <si>
    <t>Arabidopsis thaliana Athila virus</t>
  </si>
  <si>
    <t>Arabidopsis thaliana Tat4 virus</t>
  </si>
  <si>
    <t>Bombyx mori Mag virus</t>
  </si>
  <si>
    <t>Caenorhabditis elegans Cer1 virus</t>
  </si>
  <si>
    <t>Cladosporium fulvum T-1 virus</t>
  </si>
  <si>
    <t>Dictyostelium discoideum Skipper virus</t>
  </si>
  <si>
    <t>Ampullaviridae</t>
  </si>
  <si>
    <t>Ampullavirus</t>
  </si>
  <si>
    <t>Acidianus bottle-shaped virus</t>
  </si>
  <si>
    <t>Arenaviridae</t>
  </si>
  <si>
    <t>Human coronavirus NL63</t>
  </si>
  <si>
    <t>Porcine epidemic diarrhea virus</t>
  </si>
  <si>
    <t>Torovirus</t>
  </si>
  <si>
    <t>Bovine torovirus</t>
  </si>
  <si>
    <t>Human torovirus</t>
  </si>
  <si>
    <t>Porcine torovirus</t>
  </si>
  <si>
    <t>Roniviridae</t>
  </si>
  <si>
    <t>Okavirus</t>
  </si>
  <si>
    <t>Gill-associated virus</t>
  </si>
  <si>
    <t>Picornavirales</t>
  </si>
  <si>
    <t>Broad bean true mosaic virus</t>
  </si>
  <si>
    <t>Cowpea mosaic virus</t>
  </si>
  <si>
    <t>Sapelovirus</t>
  </si>
  <si>
    <t>Avian sapelovirus</t>
  </si>
  <si>
    <t>Malacoherpesviridae</t>
  </si>
  <si>
    <t>Avihepatovirus</t>
  </si>
  <si>
    <t>Hepeviridae</t>
  </si>
  <si>
    <t>Sowbane mosaic virus</t>
  </si>
  <si>
    <t>Subterranean clover mottle virus</t>
  </si>
  <si>
    <t>Turnip rosette virus</t>
  </si>
  <si>
    <t>Velvet tobacco mottle virus</t>
  </si>
  <si>
    <t>Tenuivirus</t>
  </si>
  <si>
    <t>Milk vetch dwarf virus</t>
  </si>
  <si>
    <t>Subterranean clover stunt virus</t>
  </si>
  <si>
    <t>Coconut foliar decay virus</t>
  </si>
  <si>
    <t>Narnaviridae</t>
  </si>
  <si>
    <t>Mitovirus</t>
  </si>
  <si>
    <t>Saccharomyces 23S RNA narnavirus</t>
  </si>
  <si>
    <t>Nimaviridae</t>
  </si>
  <si>
    <t>Whispovirus</t>
  </si>
  <si>
    <t>White spot syndrome virus</t>
  </si>
  <si>
    <t>Nodaviridae</t>
  </si>
  <si>
    <t>Alphanodavirus</t>
  </si>
  <si>
    <t>Black beetle virus</t>
  </si>
  <si>
    <t>Boolarra virus</t>
  </si>
  <si>
    <t>Flock House virus</t>
  </si>
  <si>
    <t>Nodamura virus</t>
  </si>
  <si>
    <t>Pariacoto virus</t>
  </si>
  <si>
    <t>Betanodavirus</t>
  </si>
  <si>
    <t>Barfin flounder nervous necrosis virus</t>
  </si>
  <si>
    <t>Epizootic haematopoietic necrosis virus</t>
  </si>
  <si>
    <t>European catfish virus</t>
  </si>
  <si>
    <t>Frog virus 3</t>
  </si>
  <si>
    <t>Santee-Cooper ranavirus</t>
  </si>
  <si>
    <t>Leviviridae</t>
  </si>
  <si>
    <t>Allolevivirus</t>
  </si>
  <si>
    <t>Iflaviridae</t>
  </si>
  <si>
    <t>Iflavirus</t>
  </si>
  <si>
    <t>Deformed wing virus</t>
  </si>
  <si>
    <t>Ectropis obliqua virus</t>
  </si>
  <si>
    <t>Infectious flacherie virus</t>
  </si>
  <si>
    <t>Perina nuda virus</t>
  </si>
  <si>
    <t>Sacbrood virus</t>
  </si>
  <si>
    <t>Marnaviridae</t>
  </si>
  <si>
    <t>Marnavirus</t>
  </si>
  <si>
    <t>Heterosigma akashiwo RNA virus</t>
  </si>
  <si>
    <t>Picornaviridae</t>
  </si>
  <si>
    <t>Deltalipothrixvirus</t>
  </si>
  <si>
    <t>Carrot mottle virus</t>
  </si>
  <si>
    <t>Groundnut rosette virus</t>
  </si>
  <si>
    <t>Novirhabdovirus</t>
  </si>
  <si>
    <t>Tobacco bushy top virus</t>
  </si>
  <si>
    <t>Enamovirus</t>
  </si>
  <si>
    <t>Luteovirus</t>
  </si>
  <si>
    <t>Soybean dwarf virus</t>
  </si>
  <si>
    <t>Chickpea stunt disease associated virus</t>
  </si>
  <si>
    <t>Vernonia yellow vein virus</t>
  </si>
  <si>
    <t>Watermelon chlorotic stunt virus</t>
  </si>
  <si>
    <t>Curtovirus</t>
  </si>
  <si>
    <t>Beet curly top virus</t>
  </si>
  <si>
    <t>Flaviviridae</t>
  </si>
  <si>
    <t>Flavivirus</t>
  </si>
  <si>
    <t>Apoi virus</t>
  </si>
  <si>
    <t>Aroa virus</t>
  </si>
  <si>
    <t>Bagaza virus</t>
  </si>
  <si>
    <t>Banzi virus</t>
  </si>
  <si>
    <t>Bouboui virus</t>
  </si>
  <si>
    <t>Bukalasa bat virus</t>
  </si>
  <si>
    <t>Kappapapillomavirus</t>
  </si>
  <si>
    <t>Lambdapapillomavirus</t>
  </si>
  <si>
    <t>Mupapillomavirus</t>
  </si>
  <si>
    <t>Nupapillomavirus</t>
  </si>
  <si>
    <t>Pipapillomavirus</t>
  </si>
  <si>
    <t>Thetapapillomavirus</t>
  </si>
  <si>
    <t>Drosophila buzzatii Osvaldo virus</t>
  </si>
  <si>
    <t>Drosophila melanogaster 412 virus</t>
  </si>
  <si>
    <t>Drosophila melanogaster Blastopia virus</t>
  </si>
  <si>
    <t>Drosophila melanogaster Mdg1 virus</t>
  </si>
  <si>
    <t>Drosophila melanogaster Mdg3 virus</t>
  </si>
  <si>
    <t>Drosophila melanogaster Micropia virus</t>
  </si>
  <si>
    <t>Glycine mosaic virus</t>
  </si>
  <si>
    <t>Pea green mottle virus</t>
  </si>
  <si>
    <t>Gokushovirinae</t>
  </si>
  <si>
    <t>Caenorhabditis elegans Cer13 virus</t>
  </si>
  <si>
    <t>Drosophila melanogaster Bel virus</t>
  </si>
  <si>
    <t>Drosophila melanogaster Roo virus</t>
  </si>
  <si>
    <t>Gooseberry vein banding associated virus</t>
  </si>
  <si>
    <t>Spinareovirinae</t>
  </si>
  <si>
    <t>Sedoreovirinae</t>
  </si>
  <si>
    <t>Wiseana signata nucleopolyhedrovirus</t>
  </si>
  <si>
    <t>Betabaculovirus</t>
  </si>
  <si>
    <t>Adoxophyes orana granulovirus</t>
  </si>
  <si>
    <t>Artogeia rapae granulovirus</t>
  </si>
  <si>
    <t>Choristoneura fumiferana granulovirus</t>
  </si>
  <si>
    <t>Botrytis virus X</t>
  </si>
  <si>
    <t>Tymovirales</t>
  </si>
  <si>
    <t>Betaflexiviridae</t>
  </si>
  <si>
    <t>Murray Valley encephalitis virus</t>
  </si>
  <si>
    <t>Ntaya virus</t>
  </si>
  <si>
    <t>Omsk hemorrhagic fever virus</t>
  </si>
  <si>
    <t>Horsegram yellow mosaic virus</t>
  </si>
  <si>
    <t>Indian cassava mosaic virus</t>
  </si>
  <si>
    <t>Kudzu mosaic virus</t>
  </si>
  <si>
    <t>Lindernia anagallis yellow vein virus</t>
  </si>
  <si>
    <t>Tobacco latent virus</t>
  </si>
  <si>
    <t>Saumarez Reef virus</t>
  </si>
  <si>
    <t>Sepik virus</t>
  </si>
  <si>
    <t>Tembusu virus</t>
  </si>
  <si>
    <t>Tick-borne encephalitis virus</t>
  </si>
  <si>
    <t>Tyuleniy virus</t>
  </si>
  <si>
    <t>Uganda S virus</t>
  </si>
  <si>
    <t>Usutu virus</t>
  </si>
  <si>
    <t>Wesselsbron virus</t>
  </si>
  <si>
    <t>West Nile virus</t>
  </si>
  <si>
    <t>Yaounde virus</t>
  </si>
  <si>
    <t>Yellow fever virus</t>
  </si>
  <si>
    <t>Yokose virus</t>
  </si>
  <si>
    <t>Zika virus</t>
  </si>
  <si>
    <t>Hepacivirus</t>
  </si>
  <si>
    <t>Pestivirus</t>
  </si>
  <si>
    <t>Ludwigia yellow vein Vietnam virus</t>
  </si>
  <si>
    <t>Ludwigia yellow vein virus</t>
  </si>
  <si>
    <t>Luffa yellow mosaic virus</t>
  </si>
  <si>
    <t>Moloney murine sarcoma virus</t>
  </si>
  <si>
    <t>Murine leukemia virus</t>
  </si>
  <si>
    <t>Porcine type-C oncovirus</t>
  </si>
  <si>
    <t>Reticuloendotheliosis virus</t>
  </si>
  <si>
    <t>Petunia vein clearing virus</t>
  </si>
  <si>
    <t>Soymovirus</t>
  </si>
  <si>
    <t>Blueberry red ringspot virus</t>
  </si>
  <si>
    <t>Peanut chlorotic streak virus</t>
  </si>
  <si>
    <t>Soybean chlorotic mottle virus</t>
  </si>
  <si>
    <t>Tungrovirus</t>
  </si>
  <si>
    <t>Caprine arthritis encephalitis virus</t>
  </si>
  <si>
    <t>Equine infectious anemia virus</t>
  </si>
  <si>
    <t>Feline immunodeficiency virus</t>
  </si>
  <si>
    <t>Human immunodeficiency virus 1</t>
  </si>
  <si>
    <t>Human immunodeficiency virus 2</t>
  </si>
  <si>
    <t>Puma lentivirus</t>
  </si>
  <si>
    <t>Simian immunodeficiency virus</t>
  </si>
  <si>
    <t>Spumaretrovirinae</t>
  </si>
  <si>
    <t>Finch circovirus</t>
  </si>
  <si>
    <t>Goose circovirus</t>
  </si>
  <si>
    <t>Gull circovirus</t>
  </si>
  <si>
    <t>Indian citrus ringspot virus</t>
  </si>
  <si>
    <t>Potexvirus</t>
  </si>
  <si>
    <t>Spinach latent virus</t>
  </si>
  <si>
    <t>Orthopoxvirus</t>
  </si>
  <si>
    <t>Camelpox virus</t>
  </si>
  <si>
    <t>Cowpox virus</t>
  </si>
  <si>
    <t>Ectromelia virus</t>
  </si>
  <si>
    <t>Monkeypox virus</t>
  </si>
  <si>
    <t>Raccoonpox virus</t>
  </si>
  <si>
    <t>Taterapox virus</t>
  </si>
  <si>
    <t>Vaccinia virus</t>
  </si>
  <si>
    <t>Variola virus</t>
  </si>
  <si>
    <t>Volepox virus</t>
  </si>
  <si>
    <t>Parapoxvirus</t>
  </si>
  <si>
    <t>Bovine papular stomatitis virus</t>
  </si>
  <si>
    <t>Orf virus</t>
  </si>
  <si>
    <t>Parapoxvirus of red deer in New Zealand</t>
  </si>
  <si>
    <t>Pseudocowpox virus</t>
  </si>
  <si>
    <t>Suipoxvirus</t>
  </si>
  <si>
    <t>Swinepox virus</t>
  </si>
  <si>
    <t>Chalara elegans RNA Virus 1</t>
  </si>
  <si>
    <t>Coniothyrium minitans RNA virus</t>
  </si>
  <si>
    <t>Epichloe festucae virus 1</t>
  </si>
  <si>
    <t>Gremmeniella abietina RNA virus L1</t>
  </si>
  <si>
    <t>Avihepadnavirus</t>
  </si>
  <si>
    <t>Duck hepatitis B virus</t>
  </si>
  <si>
    <t>Heron hepatitis B virus</t>
  </si>
  <si>
    <t>Orthohepadnavirus</t>
  </si>
  <si>
    <t>Ground squirrel hepatitis virus</t>
  </si>
  <si>
    <t>Hepatitis B virus</t>
  </si>
  <si>
    <t>Woodchuck hepatitis virus</t>
  </si>
  <si>
    <t>Ophiostoma partitivirus 1</t>
  </si>
  <si>
    <t>Penicillium stoloniferum virus F</t>
  </si>
  <si>
    <t>Pleurotus ostreatus virus 1</t>
  </si>
  <si>
    <t>Cryspovirus</t>
  </si>
  <si>
    <t>Turnip yellow mosaic virus</t>
  </si>
  <si>
    <t>Voandzeia necrotic mosaic virus</t>
  </si>
  <si>
    <t>Wild cucumber mosaic virus</t>
  </si>
  <si>
    <t>Benyvirus</t>
  </si>
  <si>
    <t>Beet necrotic yellow vein virus</t>
  </si>
  <si>
    <t>Beet soil-borne mosaic virus</t>
  </si>
  <si>
    <t>Deltavirus</t>
  </si>
  <si>
    <t>Hepatitis delta virus</t>
  </si>
  <si>
    <t>Furovirus</t>
  </si>
  <si>
    <t>Chinese wheat mosaic virus</t>
  </si>
  <si>
    <t>Oat golden stripe virus</t>
  </si>
  <si>
    <t>Soil-borne cereal mosaic virus</t>
  </si>
  <si>
    <t>Soil-borne wheat mosaic virus</t>
  </si>
  <si>
    <t>Bovine leukemia virus</t>
  </si>
  <si>
    <t>Primate T-lymphotropic virus 1</t>
  </si>
  <si>
    <t>Primate T-lymphotropic virus 2</t>
  </si>
  <si>
    <t>Pea stem necrosis virus</t>
  </si>
  <si>
    <t>Pelargonium flower break virus</t>
  </si>
  <si>
    <t>Saguaro cactus virus</t>
  </si>
  <si>
    <t>Turnip crinkle virus</t>
  </si>
  <si>
    <t>Weddel waterborne virus</t>
  </si>
  <si>
    <t>Dianthovirus</t>
  </si>
  <si>
    <t>Carnation ringspot virus</t>
  </si>
  <si>
    <t>Red clover necrotic mosaic virus</t>
  </si>
  <si>
    <t>Sweet clover necrotic mosaic virus</t>
  </si>
  <si>
    <t>Machlomovirus</t>
  </si>
  <si>
    <t>Maize chlorotic mottle virus</t>
  </si>
  <si>
    <t>Gardner-Arnstein feline sarcoma virus</t>
  </si>
  <si>
    <t>Gibbon ape leukemia virus</t>
  </si>
  <si>
    <t>Guinea pig type-C oncovirus</t>
  </si>
  <si>
    <t>Hardy-Zuckerman feline sarcoma virus</t>
  </si>
  <si>
    <t>Harvey murine sarcoma virus</t>
  </si>
  <si>
    <t>Cotton leaf curl Bangalore virus</t>
  </si>
  <si>
    <t>Arabidopsis thaliana Ta1 virus</t>
  </si>
  <si>
    <t>Brassica oleracea Melmoth virus</t>
  </si>
  <si>
    <t>Cajanus cajan Panzee virus</t>
  </si>
  <si>
    <t>Glycine max Tgmr virus</t>
  </si>
  <si>
    <t>Hordeum vulgare BARE-1 virus</t>
  </si>
  <si>
    <t>Nicotiana tabacum Tnt1 virus</t>
  </si>
  <si>
    <t>Nicotiana tabacum Tto1 virus</t>
  </si>
  <si>
    <t>Percavirus</t>
  </si>
  <si>
    <t>Rhadinovirus</t>
  </si>
  <si>
    <t>Simplexvirus</t>
  </si>
  <si>
    <t>Varicellovirus</t>
  </si>
  <si>
    <t>Rudiviridae</t>
  </si>
  <si>
    <t>Rudivirus</t>
  </si>
  <si>
    <t>Original release</t>
    <phoneticPr fontId="3" type="noConversion"/>
  </si>
  <si>
    <t>Lymphocryptovirus</t>
  </si>
  <si>
    <t>Date</t>
    <phoneticPr fontId="3" type="noConversion"/>
  </si>
  <si>
    <t>Change:</t>
    <phoneticPr fontId="3" type="noConversion"/>
  </si>
  <si>
    <t>St Croix River virus</t>
  </si>
  <si>
    <t>Umatilla virus</t>
  </si>
  <si>
    <t>Wad Medani virus</t>
  </si>
  <si>
    <t>Wallal virus</t>
  </si>
  <si>
    <t>Warrego virus</t>
  </si>
  <si>
    <t>Wongorr virus</t>
  </si>
  <si>
    <t>Yunnan orbivirus</t>
  </si>
  <si>
    <t>Orthoreovirus</t>
  </si>
  <si>
    <t>Avian orthoreovirus</t>
  </si>
  <si>
    <t>Baboon orthoreovirus</t>
  </si>
  <si>
    <t>Mammalian orthoreovirus</t>
  </si>
  <si>
    <t>Nelson Bay orthoreovirus</t>
  </si>
  <si>
    <t>Reptilian orthoreovirus</t>
  </si>
  <si>
    <t>Oryzavirus</t>
  </si>
  <si>
    <t>Echinochloa ragged stunt virus</t>
  </si>
  <si>
    <t>Rio Negro virus</t>
  </si>
  <si>
    <t>Ross River virus</t>
  </si>
  <si>
    <t>Salmon pancreas disease virus</t>
  </si>
  <si>
    <t>Semliki Forest virus</t>
  </si>
  <si>
    <t>Sindbis virus</t>
  </si>
  <si>
    <t>Southern elephant seal virus</t>
  </si>
  <si>
    <t>Macavirus</t>
  </si>
  <si>
    <t>Henipavirus</t>
  </si>
  <si>
    <t>Morbillivirus</t>
  </si>
  <si>
    <t>Cetacean morbillivirus</t>
  </si>
  <si>
    <t>Respirovirus</t>
  </si>
  <si>
    <t>Bermuda grass etched-line virus</t>
  </si>
  <si>
    <t>Citrus sudden death-associated virus</t>
  </si>
  <si>
    <t>Maize rayado fino virus</t>
  </si>
  <si>
    <t>Oat blue dwarf virus</t>
  </si>
  <si>
    <t>Caudovirales</t>
  </si>
  <si>
    <t>Myoviridae</t>
  </si>
  <si>
    <t>Totivirus</t>
  </si>
  <si>
    <t>Saccharomyces cerevisiae virus L-A</t>
  </si>
  <si>
    <t>Ustilago maydis virus H1</t>
  </si>
  <si>
    <t>Tymoviridae</t>
  </si>
  <si>
    <t>Maculavirus</t>
  </si>
  <si>
    <t>Grapevine fleck virus</t>
  </si>
  <si>
    <t>Marafivirus</t>
  </si>
  <si>
    <t>Peduovirinae</t>
  </si>
  <si>
    <t>Spounavirinae</t>
  </si>
  <si>
    <t>Tevenvirinae</t>
  </si>
  <si>
    <t>Scutavirus</t>
  </si>
  <si>
    <t>Bundibugyo ebolavirus</t>
  </si>
  <si>
    <t>Marburg marburgvirus</t>
  </si>
  <si>
    <t>Aquaparamyxovirus</t>
  </si>
  <si>
    <t>Ferlavirus</t>
  </si>
  <si>
    <t>Moussa virus</t>
  </si>
  <si>
    <t>Ictalurivirus</t>
  </si>
  <si>
    <t>Phycodnaviridae</t>
  </si>
  <si>
    <t>Chlorovirus</t>
  </si>
  <si>
    <t>Hydra viridis Chlorella virus 1</t>
  </si>
  <si>
    <t>Paramecium bursaria Chlorella virus 1</t>
  </si>
  <si>
    <t>Paramecium bursaria Chlorella virus A1</t>
  </si>
  <si>
    <t>Paramecium bursaria Chlorella virus AL1A</t>
  </si>
  <si>
    <t>Autographivirinae</t>
  </si>
  <si>
    <t>Pea mild mosaic virus</t>
  </si>
  <si>
    <t>Trichoplusia ni ascovirus 2a</t>
  </si>
  <si>
    <t>Red clover mottle virus</t>
  </si>
  <si>
    <t>Aparavirus</t>
  </si>
  <si>
    <t>Israeli acute paralysis virus</t>
  </si>
  <si>
    <t>Idnoreovirus 1</t>
  </si>
  <si>
    <t>Idnoreovirus 2</t>
  </si>
  <si>
    <t>Idnoreovirus 3</t>
  </si>
  <si>
    <t>Idnoreovirus 4</t>
  </si>
  <si>
    <t>Idnoreovirus 5</t>
  </si>
  <si>
    <t>Severe acute respiratory syndrome-related coronavirus</t>
  </si>
  <si>
    <t>Bovine immunodeficiency virus</t>
  </si>
  <si>
    <t>Bovine foamy virus</t>
  </si>
  <si>
    <t>Equine foamy virus</t>
  </si>
  <si>
    <t>Feline foamy virus</t>
  </si>
  <si>
    <t>African horse sickness virus</t>
  </si>
  <si>
    <t>Bluetongue virus</t>
  </si>
  <si>
    <t>Changuinola virus</t>
  </si>
  <si>
    <t>Chenuda virus</t>
  </si>
  <si>
    <t>Chobar Gorge virus</t>
  </si>
  <si>
    <t>Corriparta virus</t>
  </si>
  <si>
    <t>Ephemerovirus</t>
  </si>
  <si>
    <t>Lyssavirus</t>
  </si>
  <si>
    <t>Australian bat lyssavirus</t>
  </si>
  <si>
    <t>Mardivirus</t>
  </si>
  <si>
    <t>Simian hemorrhagic fever virus</t>
  </si>
  <si>
    <t>Coronaviridae</t>
  </si>
  <si>
    <t>Human coronavirus 229E</t>
  </si>
  <si>
    <t>Aviadenovirus</t>
  </si>
  <si>
    <t>Cowpea mottle virus</t>
  </si>
  <si>
    <t>Cucumber soil-borne virus</t>
  </si>
  <si>
    <t>Galinsoga mosaic virus</t>
  </si>
  <si>
    <t>Hibiscus chlorotic ringspot virus</t>
  </si>
  <si>
    <t>Epizootic hemorrhagic disease virus</t>
  </si>
  <si>
    <t>Equine encephalosis virus</t>
  </si>
  <si>
    <t>Eubenangee virus</t>
  </si>
  <si>
    <t>Great Island virus</t>
  </si>
  <si>
    <t>Ieri virus</t>
  </si>
  <si>
    <t>Lebombo virus</t>
  </si>
  <si>
    <t>Betaherpesvirinae</t>
  </si>
  <si>
    <t>Human coronavirus HKU1</t>
  </si>
  <si>
    <t>Proboscivirus</t>
  </si>
  <si>
    <t>Roseolovirus</t>
  </si>
  <si>
    <t>Orungo virus</t>
  </si>
  <si>
    <t>Palyam virus</t>
  </si>
  <si>
    <t>Peruvian horse sickness virus</t>
  </si>
  <si>
    <t>Gammaherpesvirinae</t>
  </si>
  <si>
    <t>Bornaviridae</t>
  </si>
  <si>
    <t>Filoviridae</t>
  </si>
  <si>
    <t>Ebolavirus</t>
  </si>
  <si>
    <t>Reston ebolavirus</t>
  </si>
  <si>
    <t>Sudan ebolavirus</t>
  </si>
  <si>
    <t>Zaire ebolavirus</t>
  </si>
  <si>
    <t>Marburgvirus</t>
  </si>
  <si>
    <t>Paramyxoviridae</t>
  </si>
  <si>
    <t>Avulavirus</t>
  </si>
  <si>
    <t>Sesbania mosaic virus</t>
  </si>
  <si>
    <t>Solanum nodiflorum mottle virus</t>
  </si>
  <si>
    <t>Southern bean mosaic virus</t>
  </si>
  <si>
    <t>Southern cowpea mosaic virus</t>
  </si>
  <si>
    <t>Olive latent ringspot virus</t>
  </si>
  <si>
    <t>Peach rosette mosaic virus</t>
  </si>
  <si>
    <t>Potato black ringspot virus</t>
  </si>
  <si>
    <t>Potato virus U</t>
  </si>
  <si>
    <t>Raspberry ringspot virus</t>
  </si>
  <si>
    <t>Iridoviridae</t>
  </si>
  <si>
    <t>Chloriridovirus</t>
  </si>
  <si>
    <t>Invertebrate iridescent virus 3</t>
  </si>
  <si>
    <t>Tobacco ringspot virus</t>
  </si>
  <si>
    <t>Tomato black ring virus</t>
  </si>
  <si>
    <t>Tomato ringspot virus</t>
  </si>
  <si>
    <t>Snyder-Theilen feline sarcoma virus</t>
  </si>
  <si>
    <t>Trager duck spleen necrosis virus</t>
  </si>
  <si>
    <t>Viper retrovirus</t>
  </si>
  <si>
    <t>Woolly monkey sarcoma virus</t>
  </si>
  <si>
    <t>Lentivirus</t>
  </si>
  <si>
    <t>Himetobi P virus</t>
  </si>
  <si>
    <t>Rubulavirus</t>
  </si>
  <si>
    <t>Porcine rubulavirus</t>
  </si>
  <si>
    <t>Avian metapneumovirus</t>
  </si>
  <si>
    <t>Human metapneumovirus</t>
  </si>
  <si>
    <t>Nucleorhabdovirus</t>
  </si>
  <si>
    <t>Rhabdoviridae</t>
  </si>
  <si>
    <t>Cytorhabdovirus</t>
  </si>
  <si>
    <t>Vesiculovirus</t>
  </si>
  <si>
    <t>Nidovirales</t>
  </si>
  <si>
    <t>Arteriviridae</t>
  </si>
  <si>
    <t>Equine arteritis virus</t>
  </si>
  <si>
    <t>Lactate dehydrogenase-elevating virus</t>
  </si>
  <si>
    <t>Mastadenovirus</t>
  </si>
  <si>
    <t>Pepino mosaic virus</t>
  </si>
  <si>
    <t>Plantago asiatica mosaic virus</t>
  </si>
  <si>
    <t>Plantain virus X</t>
  </si>
  <si>
    <t>Potato aucuba mosaic virus</t>
  </si>
  <si>
    <t>Potato virus X</t>
  </si>
  <si>
    <t>Schlumbergera virus X</t>
  </si>
  <si>
    <t>Pepper leaf curl Bangladesh virus</t>
  </si>
  <si>
    <t>Hosta virus X</t>
  </si>
  <si>
    <t>Hydrangea ringspot virus</t>
  </si>
  <si>
    <t>Tulip virus X</t>
  </si>
  <si>
    <t>White clover mosaic virus</t>
  </si>
  <si>
    <t>Zygocactus virus X</t>
  </si>
  <si>
    <t>Strawberry mild yellow edge virus</t>
  </si>
  <si>
    <t>Tamus red mosaic virus</t>
  </si>
  <si>
    <t>Apple chlorotic leaf spot virus</t>
  </si>
  <si>
    <t>Desmodium yellow mottle virus</t>
  </si>
  <si>
    <t>Dulcamara mottle virus</t>
  </si>
  <si>
    <t>Eggplant mosaic virus</t>
  </si>
  <si>
    <t>Erysimum latent virus</t>
  </si>
  <si>
    <t>Guttaviridae</t>
  </si>
  <si>
    <t>Ranunculus mild mosaic virus</t>
  </si>
  <si>
    <t>Ranunculus mosaic virus</t>
  </si>
  <si>
    <t>Okra mosaic virus</t>
  </si>
  <si>
    <t>Ononis yellow mosaic virus</t>
  </si>
  <si>
    <t>Sorghum mosaic virus</t>
  </si>
  <si>
    <t>Soybean mosaic virus</t>
  </si>
  <si>
    <t>Sugarcane mosaic virus</t>
  </si>
  <si>
    <t>Sunflower mosaic virus</t>
  </si>
  <si>
    <t>Sweet potato feathery mottle virus</t>
  </si>
  <si>
    <t>Sweet potato latent virus</t>
  </si>
  <si>
    <t>Torque teno virus 29</t>
  </si>
  <si>
    <t>Pepper yellow leaf curl Indonesia virus</t>
  </si>
  <si>
    <t>Pepper yellow vein Mali virus</t>
  </si>
  <si>
    <t>Potato yellow mosaic Panama virus</t>
  </si>
  <si>
    <t>Potato yellow mosaic virus</t>
  </si>
  <si>
    <t>Pumpkin yellow mosaic virus</t>
  </si>
  <si>
    <t>Radish leaf curl virus</t>
  </si>
  <si>
    <t>Tymovirus</t>
  </si>
  <si>
    <t>Anagyris vein yellowing virus</t>
  </si>
  <si>
    <t>Andean potato latent virus</t>
  </si>
  <si>
    <t>Belladonna mottle virus</t>
  </si>
  <si>
    <t>Cacao yellow mosaic virus</t>
  </si>
  <si>
    <t>Calopogonium yellow vein virus</t>
  </si>
  <si>
    <t>Chayote mosaic virus</t>
  </si>
  <si>
    <t>Clitoria yellow vein virus</t>
  </si>
  <si>
    <t>Chloris striate mosaic virus</t>
  </si>
  <si>
    <t>Digitaria streak virus</t>
  </si>
  <si>
    <t>Maize streak virus</t>
  </si>
  <si>
    <t>Wild potato mosaic virus</t>
  </si>
  <si>
    <t>Wisteria vein mosaic virus</t>
  </si>
  <si>
    <t>Yam mild mosaic virus</t>
  </si>
  <si>
    <t>Yam mosaic virus</t>
  </si>
  <si>
    <t>Zantedeschia mild mosaic virus</t>
  </si>
  <si>
    <t>Zea mosaic virus</t>
  </si>
  <si>
    <t>Ranid herpesvirus 2</t>
  </si>
  <si>
    <t>Cyprinivirus</t>
  </si>
  <si>
    <t>Cyprinid herpesvirus 1</t>
  </si>
  <si>
    <t>Cyprinid herpesvirus 2</t>
  </si>
  <si>
    <t>Salmonivirus</t>
  </si>
  <si>
    <t>Croton yellow vein mosaic virus</t>
  </si>
  <si>
    <t>Desmodium leaf distortion virus</t>
  </si>
  <si>
    <t>Dicliptera yellow mottle Cuba virus</t>
  </si>
  <si>
    <t>Dicliptera yellow mottle virus</t>
  </si>
  <si>
    <t>Dolichos yellow mosaic virus</t>
  </si>
  <si>
    <t>Garlic virus A</t>
  </si>
  <si>
    <t>Garlic virus B</t>
  </si>
  <si>
    <t>Garlic virus C</t>
  </si>
  <si>
    <t>Salmonid herpesvirus 3</t>
  </si>
  <si>
    <t>Parsnip yellow fleck virus</t>
  </si>
  <si>
    <t>Rice tungro spherical virus</t>
  </si>
  <si>
    <t>Sclerotinia sclerotiorum debilitation-associated RNA virus</t>
  </si>
  <si>
    <t>African oil palm ringspot virus</t>
  </si>
  <si>
    <t>Sugarcane striate mosaic-associated virus</t>
  </si>
  <si>
    <t>Rosellinia necatrix virus 1</t>
  </si>
  <si>
    <t>Helminthosporium victoriae virus 190S</t>
  </si>
  <si>
    <t>Varicosavirus</t>
  </si>
  <si>
    <t>Acipenserid herpesvirus 2</t>
  </si>
  <si>
    <t>Oat sterile dwarf virus</t>
  </si>
  <si>
    <t>Pangola stunt virus</t>
  </si>
  <si>
    <t>Chironomus plumosus entomopoxvirus</t>
  </si>
  <si>
    <t>Aedes aegypti Mosqcopia virus</t>
  </si>
  <si>
    <t>Candida albicans Tca2 virus</t>
  </si>
  <si>
    <t>Rehmannia mosaic virus</t>
  </si>
  <si>
    <t>Brugmansia mild mottle virus</t>
  </si>
  <si>
    <t>Streptocarpus flower break virus</t>
  </si>
  <si>
    <t>Grapevine virus E</t>
  </si>
  <si>
    <t>Tomato leaf curl Guangdong virus</t>
  </si>
  <si>
    <t>Tomato leaf curl Kerala virus</t>
  </si>
  <si>
    <t>Tomato leaf curl Laos virus</t>
  </si>
  <si>
    <t>Tomato leaf curl Madagascar virus</t>
  </si>
  <si>
    <t>Tomato leaf curl Malaysia virus</t>
  </si>
  <si>
    <t>Tomato leaf curl Mali virus</t>
  </si>
  <si>
    <t>Tomato leaf curl New Delhi virus</t>
  </si>
  <si>
    <t>Tomato leaf curl Philippines virus</t>
  </si>
  <si>
    <t>Tomato leaf curl Pune virus</t>
  </si>
  <si>
    <t>Tomato leaf curl Seychelles virus</t>
  </si>
  <si>
    <t>Tomato leaf curl Sinaloa virus</t>
  </si>
  <si>
    <t>Tomato leaf curl Sri Lanka virus</t>
  </si>
  <si>
    <t>Tomato leaf curl Sudan virus</t>
  </si>
  <si>
    <t>Tomato leaf curl Taiwan virus</t>
  </si>
  <si>
    <t>Tomato leaf curl Uganda virus</t>
  </si>
  <si>
    <t>Tomato leaf curl Vietnam virus</t>
  </si>
  <si>
    <t>Tomato leaf curl virus</t>
  </si>
  <si>
    <t>Tomato mild yellow leaf curl Aragua virus</t>
  </si>
  <si>
    <t>Tomato mosaic Havana virus</t>
  </si>
  <si>
    <t>Gammaentomopoxvirus</t>
  </si>
  <si>
    <t>Aedes aegypti entomopoxvirus</t>
  </si>
  <si>
    <t>Oat mosaic virus</t>
  </si>
  <si>
    <t>Rymovirus</t>
  </si>
  <si>
    <t>Agropyron mosaic virus</t>
  </si>
  <si>
    <t>Hordeum mosaic virus</t>
  </si>
  <si>
    <t>Ryegrass mosaic virus</t>
  </si>
  <si>
    <t>Tritimovirus</t>
  </si>
  <si>
    <t>Brome streak mosaic virus</t>
  </si>
  <si>
    <t>Oat necrotic mottle virus</t>
  </si>
  <si>
    <t>Wheat streak mosaic virus</t>
  </si>
  <si>
    <t>Candida albicans Tca5 virus</t>
  </si>
  <si>
    <t>Drosophila melanogaster 1731 virus</t>
  </si>
  <si>
    <t>Tomato infectious chlorosis virus</t>
  </si>
  <si>
    <t>Mint vein banding-associated virus</t>
  </si>
  <si>
    <t>Torque teno mini virus 7</t>
  </si>
  <si>
    <t>Torque teno mini virus 8</t>
  </si>
  <si>
    <t>Torque teno mini virus 9</t>
  </si>
  <si>
    <t>Goatpox virus</t>
  </si>
  <si>
    <t>Lumpy skin disease virus</t>
  </si>
  <si>
    <t>Sheeppox virus</t>
  </si>
  <si>
    <t>Cervidpoxvirus</t>
  </si>
  <si>
    <t>Torque teno tupaia virus</t>
  </si>
  <si>
    <t>Philosamia cynthia x ricini virus</t>
  </si>
  <si>
    <t>Providence virus</t>
  </si>
  <si>
    <t>Torque teno felis virus</t>
  </si>
  <si>
    <t>Torque teno canis virus</t>
  </si>
  <si>
    <t>Calanthe mild mosaic virus</t>
  </si>
  <si>
    <t>Carnation vein mottle virus</t>
  </si>
  <si>
    <t>Carrot thin leaf virus</t>
  </si>
  <si>
    <t>Carrot virus Y</t>
  </si>
  <si>
    <t>Celery mosaic virus</t>
  </si>
  <si>
    <t>Ceratobium mosaic virus</t>
  </si>
  <si>
    <t>Chilli veinal mottle virus</t>
  </si>
  <si>
    <t>Chinese artichoke mosaic virus</t>
  </si>
  <si>
    <t>Clitoria virus Y</t>
  </si>
  <si>
    <t>Clover yellow vein virus</t>
  </si>
  <si>
    <t>Pokeweed mosaic virus</t>
  </si>
  <si>
    <t>Potato virus A</t>
  </si>
  <si>
    <t>Sulfolobus islandicus rod-shaped virus 2</t>
  </si>
  <si>
    <t>Tectiviridae</t>
  </si>
  <si>
    <t>Tomato leaf curl Bangalore virus</t>
  </si>
  <si>
    <t>Tomato leaf curl Bangladesh virus</t>
  </si>
  <si>
    <t>Cypovirus 13</t>
  </si>
  <si>
    <t>Cypovirus 14</t>
  </si>
  <si>
    <t>Cypovirus 15</t>
  </si>
  <si>
    <t>Cypovirus 16</t>
  </si>
  <si>
    <t>Cypovirus 2</t>
  </si>
  <si>
    <t>Zucchini yellow fleck virus</t>
  </si>
  <si>
    <t>Zucchini yellow mosaic virus</t>
  </si>
  <si>
    <t>Cypovirus 1</t>
  </si>
  <si>
    <t>Cypovirus 8</t>
  </si>
  <si>
    <t>Cypovirus 9</t>
  </si>
  <si>
    <t>Dinovernavirus</t>
  </si>
  <si>
    <t>Giardia lamblia virus</t>
  </si>
  <si>
    <t>Leishmaniavirus</t>
  </si>
  <si>
    <t>Atkinsonella hypoxylon virus</t>
  </si>
  <si>
    <t>Discula destructiva virus 1</t>
  </si>
  <si>
    <t>Maize rough dwarf virus</t>
  </si>
  <si>
    <t>Mal de Rio Cuarto virus</t>
  </si>
  <si>
    <t>Nilaparvata lugens reovirus</t>
  </si>
  <si>
    <t>Rice black streaked dwarf virus</t>
  </si>
  <si>
    <t>Idnoreovirus</t>
  </si>
  <si>
    <t>Tobacco leaf curl Cuba virus</t>
  </si>
  <si>
    <t>Tobacco leaf curl Japan virus</t>
  </si>
  <si>
    <t>Tobacco leaf curl Yunnan virus</t>
  </si>
  <si>
    <t>Tobacco leaf curl Zimbabwe virus</t>
  </si>
  <si>
    <t>Faba bean necrotic yellows virus</t>
  </si>
  <si>
    <t>Garlic common latent virus</t>
  </si>
  <si>
    <t>Helenium virus S</t>
  </si>
  <si>
    <t>Hop latent virus</t>
  </si>
  <si>
    <t>Hop mosaic virus</t>
  </si>
  <si>
    <t>Parvovirinae</t>
  </si>
  <si>
    <t>Redspotted grouper nervous necrosis virus</t>
  </si>
  <si>
    <t>Striped jack nervous necrosis virus</t>
  </si>
  <si>
    <t>Tiger puffer nervous necrosis virus</t>
  </si>
  <si>
    <t>Ophiovirus</t>
  </si>
  <si>
    <t>Orthomyxoviridae</t>
  </si>
  <si>
    <t>Levivirus</t>
  </si>
  <si>
    <t>Lipothrixviridae</t>
  </si>
  <si>
    <t>Thermoproteus tenax virus 1</t>
  </si>
  <si>
    <t>Betalipothrixvirus</t>
  </si>
  <si>
    <t>Sulfolobus islandicus filamentous virus</t>
  </si>
  <si>
    <t>Bean leafroll virus</t>
  </si>
  <si>
    <t>Lettuce speckles mottle virus</t>
  </si>
  <si>
    <t>Polerovirus</t>
  </si>
  <si>
    <t>Beet chlorosis virus</t>
  </si>
  <si>
    <t>Beet western yellows virus</t>
  </si>
  <si>
    <t>Carrot red leaf virus</t>
  </si>
  <si>
    <t>Cucurbit aphid-borne yellows virus</t>
  </si>
  <si>
    <t>Potato leafroll virus</t>
  </si>
  <si>
    <t>Sugarcane yellow leaf virus</t>
  </si>
  <si>
    <t>Turnip yellows virus</t>
  </si>
  <si>
    <t>Endornaviridae</t>
  </si>
  <si>
    <t>Tobacco vein distorting virus</t>
  </si>
  <si>
    <t>Metaviridae</t>
  </si>
  <si>
    <t>Vitivirus</t>
  </si>
  <si>
    <t>Grapevine virus A</t>
  </si>
  <si>
    <t>Cacipacore virus</t>
  </si>
  <si>
    <t>Carey Island virus</t>
  </si>
  <si>
    <t>Cowbone Ridge virus</t>
  </si>
  <si>
    <t>Dakar bat virus</t>
  </si>
  <si>
    <t>Dengue virus</t>
  </si>
  <si>
    <t>Edge Hill virus</t>
  </si>
  <si>
    <t>Entebbe bat virus</t>
  </si>
  <si>
    <t>Gadgets Gully virus</t>
  </si>
  <si>
    <t>Ilheus virus</t>
  </si>
  <si>
    <t>Israel turkey meningoencephalomyelitis virus</t>
  </si>
  <si>
    <t>Japanese encephalitis virus</t>
  </si>
  <si>
    <t>Jugra virus</t>
  </si>
  <si>
    <t>Jutiapa virus</t>
  </si>
  <si>
    <t>Kadam virus</t>
  </si>
  <si>
    <t>Kedougou virus</t>
  </si>
  <si>
    <t>Kokobera virus</t>
  </si>
  <si>
    <t>Koutango virus</t>
  </si>
  <si>
    <t>Kyasanur Forest disease virus</t>
  </si>
  <si>
    <t>Langat virus</t>
  </si>
  <si>
    <t>Louping ill virus</t>
  </si>
  <si>
    <t>Meaban virus</t>
  </si>
  <si>
    <t>Modoc virus</t>
  </si>
  <si>
    <t>Xipapillomavirus</t>
  </si>
  <si>
    <t>Zetapapillomavirus</t>
  </si>
  <si>
    <t>Partitiviridae</t>
  </si>
  <si>
    <t>Schizosaccharomyces pombe Tf2 virus</t>
  </si>
  <si>
    <t>Takifugu rubripes Sushi virus</t>
  </si>
  <si>
    <t>Tribolium castaneum Woot virus</t>
  </si>
  <si>
    <t>Tripneustis gratilla SURL virus</t>
  </si>
  <si>
    <t>Drosophila virilis Ulysses virus</t>
  </si>
  <si>
    <t>Fusarium oxysporum Skippy virus</t>
  </si>
  <si>
    <t>Lilium henryi Del1 virus</t>
  </si>
  <si>
    <t>Saccharomyces cerevisiae Ty3 virus</t>
  </si>
  <si>
    <t>Schizosaccharomyces pombe Tf1 virus</t>
  </si>
  <si>
    <t>Cryphonectria hypovirus 4</t>
  </si>
  <si>
    <t>Inoviridae</t>
  </si>
  <si>
    <t>Inovirus</t>
  </si>
  <si>
    <t>Drosophila simulans Ninja virus</t>
  </si>
  <si>
    <t>Microviridae</t>
  </si>
  <si>
    <t>Oryza australiensis RIRE1 virus</t>
  </si>
  <si>
    <t>Oryza longistaminata Retrofit virus</t>
  </si>
  <si>
    <t>Physarum polycephalum Tp1 virus</t>
  </si>
  <si>
    <t>Saccharomyces cerevisiae Ty1 virus</t>
  </si>
  <si>
    <t>Saccharomyces cerevisiae Ty2 virus</t>
  </si>
  <si>
    <t>Gammaflexiviridae</t>
  </si>
  <si>
    <t>Sclerodarnavirus</t>
  </si>
  <si>
    <t>Honeysuckle yellow vein mosaic virus</t>
  </si>
  <si>
    <t>Honeysuckle yellow vein virus</t>
  </si>
  <si>
    <t>Epsilontorquevirus</t>
  </si>
  <si>
    <t>Zetatorquevirus</t>
  </si>
  <si>
    <t>Etatorquevirus</t>
  </si>
  <si>
    <t>Thetatorquevirus</t>
  </si>
  <si>
    <t>Iotatorquevirus</t>
  </si>
  <si>
    <t>Torque teno virus 1</t>
  </si>
  <si>
    <t>Torque teno virus 2</t>
  </si>
  <si>
    <t>Torque teno virus 3</t>
  </si>
  <si>
    <t>Tobacco mild green mosaic virus</t>
  </si>
  <si>
    <t>Tobacco mosaic virus</t>
  </si>
  <si>
    <t>Tomato mosaic virus</t>
  </si>
  <si>
    <t>Turnip vein-clearing virus</t>
  </si>
  <si>
    <t>Ullucus mild mottle virus</t>
  </si>
  <si>
    <t>Wasabi mottle virus</t>
  </si>
  <si>
    <t>Youcai mosaic virus</t>
  </si>
  <si>
    <t>Zucchini green mottle mosaic virus</t>
  </si>
  <si>
    <t>Tobravirus</t>
  </si>
  <si>
    <t>Pea early-browning virus</t>
  </si>
  <si>
    <t>Pepper ringspot virus</t>
  </si>
  <si>
    <t>Tobacco rattle virus</t>
  </si>
  <si>
    <t>Umbravirus</t>
  </si>
  <si>
    <t>Carrot mottle mimic virus</t>
  </si>
  <si>
    <t>Malvastrum yellow vein virus</t>
  </si>
  <si>
    <t>Malvastrum yellow vein Yunnan virus</t>
  </si>
  <si>
    <t>Melon chlorotic leaf curl virus</t>
  </si>
  <si>
    <t>Mesta yellow vein mosaic virus</t>
  </si>
  <si>
    <t>Macroptilium mosaic Puerto Rico virus</t>
  </si>
  <si>
    <t>Macroptilium yellow mosaic Florida virus</t>
  </si>
  <si>
    <t>Macroptilium yellow mosaic virus</t>
  </si>
  <si>
    <t>Malvastrum leaf curl virus</t>
  </si>
  <si>
    <t>Malvastrum yellow mosaic virus</t>
  </si>
  <si>
    <t>Sweet potato collusive virus</t>
  </si>
  <si>
    <t>Cucurbit leaf crumple virus</t>
  </si>
  <si>
    <t>Peach latent mosaic viroid</t>
  </si>
  <si>
    <t>Baculoviridae</t>
  </si>
  <si>
    <t>Alphabaculovirus</t>
  </si>
  <si>
    <t>Cherry leaf roll virus</t>
  </si>
  <si>
    <t>Chicory yellow mottle virus</t>
  </si>
  <si>
    <t>Cocoa necrosis virus</t>
  </si>
  <si>
    <t>Crimson clover latent virus</t>
  </si>
  <si>
    <t>Cycas necrotic stunt virus</t>
  </si>
  <si>
    <t>Grapevine Anatolian ringspot virus</t>
  </si>
  <si>
    <t>Grapevine Bulgarian latent virus</t>
  </si>
  <si>
    <t>Grapevine chrome mosaic virus</t>
  </si>
  <si>
    <t>Grapevine deformation virus</t>
  </si>
  <si>
    <t>Grapevine fanleaf virus</t>
  </si>
  <si>
    <t>Grapevine Tunisian ringspot virus</t>
  </si>
  <si>
    <t>Hibiscus latent ringspot virus</t>
  </si>
  <si>
    <t>Lucerne Australian latent virus</t>
  </si>
  <si>
    <t>Mulberry ringspot virus</t>
  </si>
  <si>
    <t>Myrobalan latent ringspot virus</t>
  </si>
  <si>
    <t>Anticarsia gemmatalis multiple nucleopolyhedrovirus</t>
  </si>
  <si>
    <t>Cotesia glomerata bracovirus</t>
  </si>
  <si>
    <t>Cotesia hyphantriae bracovirus</t>
  </si>
  <si>
    <t>Cotesia kariyai bracovirus</t>
  </si>
  <si>
    <t>Choristoneura fumiferana multiple nucleopolyhedrovirus</t>
  </si>
  <si>
    <t>Chelonus texanus bracovirus</t>
  </si>
  <si>
    <t>Choristoneura rosaceana nucleopolyhedrovirus</t>
  </si>
  <si>
    <t>Ectropis obliqua nucleopolyhedrovirus</t>
  </si>
  <si>
    <t>Epiphyas postvittana nucleopolyhedrovirus</t>
  </si>
  <si>
    <t>Helicoverpa armigera nucleopolyhedrovirus</t>
  </si>
  <si>
    <t>Lymantria dispar multiple nucleopolyhedrovirus</t>
  </si>
  <si>
    <t>Foot-and-mouth disease virus</t>
  </si>
  <si>
    <t>Cardiovirus</t>
  </si>
  <si>
    <t>Protapanteles paleacritae bracovirus</t>
  </si>
  <si>
    <t>Lacanobia oleracea granulovirus</t>
  </si>
  <si>
    <t>Phthorimaea operculella granulovirus</t>
  </si>
  <si>
    <t>Solanum tuberosum Tst1 virus</t>
  </si>
  <si>
    <t>Zea mays Hopscotch virus</t>
  </si>
  <si>
    <t>Trichoplusia ni granulovirus</t>
  </si>
  <si>
    <t>Xestia c-nigrum granulovirus</t>
  </si>
  <si>
    <t>Deltabaculovirus</t>
  </si>
  <si>
    <t>Phaseolus vulgaris Tpv2-6 virus</t>
  </si>
  <si>
    <t>Reoviridae</t>
  </si>
  <si>
    <t>Neodiprion sertifer nucleopolyhedrovirus</t>
  </si>
  <si>
    <t>Barnaviridae</t>
  </si>
  <si>
    <t>Barnavirus</t>
  </si>
  <si>
    <t>Mushroom bacilliform virus</t>
  </si>
  <si>
    <t>Birnaviridae</t>
  </si>
  <si>
    <t>Aquabirnavirus</t>
  </si>
  <si>
    <t>Infectious pancreatic necrosis virus</t>
  </si>
  <si>
    <t>Tellina virus</t>
  </si>
  <si>
    <t>Yellowtail ascites virus</t>
  </si>
  <si>
    <t>Avibirnavirus</t>
  </si>
  <si>
    <t>Figwort mosaic virus</t>
  </si>
  <si>
    <t>Horseradish latent virus</t>
  </si>
  <si>
    <t>Sadwavirus</t>
  </si>
  <si>
    <t>Satsuma dwarf virus</t>
  </si>
  <si>
    <t>Strawberry latent ringspot virus</t>
  </si>
  <si>
    <t>Strawberry mottle virus</t>
  </si>
  <si>
    <t>Adenoviridae</t>
  </si>
  <si>
    <t>Atadenovirus</t>
  </si>
  <si>
    <t>Infectious bursal disease virus</t>
  </si>
  <si>
    <t>Blosnavirus</t>
  </si>
  <si>
    <t>Blotched snakehead virus</t>
  </si>
  <si>
    <t>Entomobirnavirus</t>
  </si>
  <si>
    <t>Drosophila X virus</t>
  </si>
  <si>
    <t>Bromoviridae</t>
  </si>
  <si>
    <t>Acidianus filamentous virus 9</t>
  </si>
  <si>
    <t>Acidianus filamentous virus 8</t>
  </si>
  <si>
    <t>Cowpea chlorotic mottle virus</t>
  </si>
  <si>
    <t>Melandrium yellow fleck virus</t>
  </si>
  <si>
    <t>Beak and feather disease virus</t>
  </si>
  <si>
    <t>Canary circovirus</t>
  </si>
  <si>
    <t>Peanut stunt virus</t>
  </si>
  <si>
    <t>Tomato aspermy virus</t>
  </si>
  <si>
    <t>Ilarvirus</t>
  </si>
  <si>
    <t>American plum line pattern virus</t>
  </si>
  <si>
    <t>Apple mosaic virus</t>
  </si>
  <si>
    <t>Asparagus virus 2</t>
  </si>
  <si>
    <t>Blueberry shock virus</t>
  </si>
  <si>
    <t>Citrus leaf rugose virus</t>
  </si>
  <si>
    <t>Ascoviridae</t>
  </si>
  <si>
    <t>Ascovirus</t>
  </si>
  <si>
    <t>Alphaentomopoxvirus</t>
  </si>
  <si>
    <t>Dermolepida albohirtum entomopoxvirus</t>
  </si>
  <si>
    <t>Geotrupes sylvaticus entomopoxvirus</t>
  </si>
  <si>
    <t>Venezuelan equine encephalitis virus</t>
  </si>
  <si>
    <t>Western equine encephalitis virus</t>
  </si>
  <si>
    <t>Whataroa virus</t>
  </si>
  <si>
    <t>Rubivirus</t>
  </si>
  <si>
    <t>Rubella virus</t>
  </si>
  <si>
    <t>Fujinami sarcoma virus</t>
  </si>
  <si>
    <t>Rous sarcoma virus</t>
  </si>
  <si>
    <t>Tomato chino La Paz virus</t>
  </si>
  <si>
    <t>Tomato chlorotic mottle virus</t>
  </si>
  <si>
    <t>Tomato curly stunt virus</t>
  </si>
  <si>
    <t>Tomato golden mosaic virus</t>
  </si>
  <si>
    <t>Tomato golden mottle virus</t>
  </si>
  <si>
    <t>Tomato leaf curl Arusha virus</t>
  </si>
  <si>
    <t>Pineapple mealybug wilt-associated virus 3</t>
  </si>
  <si>
    <t>Camptochironomus tentans entomopoxvirus</t>
  </si>
  <si>
    <t>Cypovirus 10</t>
  </si>
  <si>
    <t>Cypovirus 11</t>
  </si>
  <si>
    <t>Cypovirus 12</t>
  </si>
  <si>
    <t>Salmonid herpesvirus 1</t>
  </si>
  <si>
    <t>Aedes pseudoscutellaris reovirus</t>
  </si>
  <si>
    <t>Fijivirus</t>
  </si>
  <si>
    <t>Fiji disease virus</t>
  </si>
  <si>
    <t>Garlic dwarf virus</t>
  </si>
  <si>
    <t>Ictalurid herpesvirus 2</t>
  </si>
  <si>
    <t>Tomato yellow leaf curl virus</t>
  </si>
  <si>
    <t>Family</t>
  </si>
  <si>
    <t>Subfamily</t>
  </si>
  <si>
    <t>Genus</t>
  </si>
  <si>
    <t>Species</t>
  </si>
  <si>
    <t>Rhynchosia golden mosaic Sinaloa virus</t>
  </si>
  <si>
    <t>Rhynchosia golden mosaic virus</t>
  </si>
  <si>
    <t>Swan circovirus</t>
  </si>
  <si>
    <t>Nebovirus</t>
  </si>
  <si>
    <t>Coronavirinae</t>
  </si>
  <si>
    <t>Alphacoronavirus</t>
  </si>
  <si>
    <t>Alphacoronavirus 1</t>
  </si>
  <si>
    <t>Tomato leaf curl Comoros virus</t>
  </si>
  <si>
    <t>Sida yellow mosaic Yucatan virus</t>
  </si>
  <si>
    <t>Sida yellow vein Vietnam virus</t>
  </si>
  <si>
    <t>Sida yellow vein virus</t>
  </si>
  <si>
    <t>Siegesbeckia yellow vein Guangxi virus</t>
  </si>
  <si>
    <t>Siegesbeckia yellow vein virus</t>
  </si>
  <si>
    <t>Torque teno mini virus 2</t>
  </si>
  <si>
    <t>Torque teno mini virus 3</t>
  </si>
  <si>
    <t>Torque teno mini virus 4</t>
  </si>
  <si>
    <t>Paramecium bursaria Chlorella virus NE8A</t>
  </si>
  <si>
    <t>Paramecium bursaria Chlorella virus NY2A</t>
  </si>
  <si>
    <t>Paramecium bursaria Chlorella virus NYs1</t>
  </si>
  <si>
    <t>Dasychira pudibunda virus</t>
  </si>
  <si>
    <t>Euprosterna elaeasa virus</t>
  </si>
  <si>
    <t>Nudaurelia capensis beta virus</t>
  </si>
  <si>
    <t>Paramecium bursaria Chlorella virus XZ3A</t>
  </si>
  <si>
    <t>Pseudoplusia includens virus</t>
  </si>
  <si>
    <t>Thosea asigna virus</t>
  </si>
  <si>
    <t>Trichoplusia ni virus</t>
  </si>
  <si>
    <t>Tomato mottle Taino virus</t>
  </si>
  <si>
    <t>Tomato mottle virus</t>
  </si>
  <si>
    <t>Tomato rugose mosaic virus</t>
  </si>
  <si>
    <t>Tomato severe leaf curl virus</t>
  </si>
  <si>
    <t>Tomato severe rugose virus</t>
  </si>
  <si>
    <t>Tomato yellow leaf curl Axarquia virus</t>
  </si>
  <si>
    <t>Tomato yellow leaf curl China virus</t>
  </si>
  <si>
    <t>Tomato yellow leaf curl Guangdong virus</t>
  </si>
  <si>
    <t>Tomato yellow leaf curl Malaga virus</t>
  </si>
  <si>
    <t>Torque teno mini virus 1</t>
  </si>
  <si>
    <t>Drosophila melanogaster copia virus</t>
  </si>
  <si>
    <t>Saccharomyces cerevisiae Ty5 virus</t>
  </si>
  <si>
    <t>Torque teno mini virus 5</t>
  </si>
  <si>
    <t>Torque teno mini virus 6</t>
  </si>
  <si>
    <t>Betatetravirus</t>
  </si>
  <si>
    <t>Antheraea eucalypti virus</t>
  </si>
  <si>
    <t>Darna trima virus</t>
  </si>
  <si>
    <t>Torque teno midi virus 1</t>
  </si>
  <si>
    <t>Torque teno midi virus 2</t>
  </si>
  <si>
    <t>Deltapapillomavirus</t>
  </si>
  <si>
    <t>Helleborus net necrosis virus</t>
  </si>
  <si>
    <t>Waikavirus</t>
  </si>
  <si>
    <t>Comovirus</t>
  </si>
  <si>
    <t>Fabavirus</t>
  </si>
  <si>
    <t>Nepovirus</t>
  </si>
  <si>
    <t>Comovirinae</t>
  </si>
  <si>
    <t>Spiranthes mosaic virus 3</t>
  </si>
  <si>
    <t>Maize white line mosaic virus</t>
  </si>
  <si>
    <t>Volvox carteri Osser virus</t>
  </si>
  <si>
    <t>Pseudovirus</t>
  </si>
  <si>
    <t>Acidianus rod-shaped virus 1</t>
  </si>
  <si>
    <t>Sulfolobus islandicus rod-shaped virus 1</t>
  </si>
  <si>
    <t>Tobacco necrosis virus D</t>
  </si>
  <si>
    <t>Panicovirus</t>
  </si>
  <si>
    <t>Panicum mosaic virus</t>
  </si>
  <si>
    <t>Tombusvirus</t>
  </si>
  <si>
    <t>Artichoke mottled crinkle virus</t>
  </si>
  <si>
    <t>Carnation Italian ringspot virus</t>
  </si>
  <si>
    <t>Cucumber Bulgarian virus</t>
  </si>
  <si>
    <t>Cucumber necrosis virus</t>
  </si>
  <si>
    <t>Cymbidium ringspot virus</t>
  </si>
  <si>
    <t>Eggplant mottled crinkle virus</t>
  </si>
  <si>
    <t>Sitke waterborne virus</t>
  </si>
  <si>
    <t>Cypovirus 3</t>
  </si>
  <si>
    <t>Cypovirus 4</t>
  </si>
  <si>
    <t>Cypovirus 5</t>
  </si>
  <si>
    <t>Cypovirus 6</t>
  </si>
  <si>
    <t>Cypovirus 7</t>
  </si>
  <si>
    <t>Tomato bushy stunt virus</t>
  </si>
  <si>
    <t>Totiviridae</t>
  </si>
  <si>
    <t>Giardiavirus</t>
  </si>
  <si>
    <t>Hypomicrogaster canadensis bracovirus</t>
  </si>
  <si>
    <t>Hypomicrogaster ectdytolophae bracovirus</t>
  </si>
  <si>
    <t>Microplitis croceipes bracovirus</t>
  </si>
  <si>
    <t>Discula destructiva virus 2</t>
  </si>
  <si>
    <t>Fusarium poae virus 1</t>
  </si>
  <si>
    <t>Fusarium solani virus 1</t>
  </si>
  <si>
    <t>Parvoviridae</t>
  </si>
  <si>
    <t>Densovirinae</t>
  </si>
  <si>
    <t>Brevidensovirus</t>
  </si>
  <si>
    <t>Mimoreovirus</t>
  </si>
  <si>
    <t>Micromonas pusilla reovirus</t>
  </si>
  <si>
    <t>Mycoreovirus</t>
  </si>
  <si>
    <t>Mycoreovirus 1</t>
  </si>
  <si>
    <t>Mycoreovirus 2</t>
  </si>
  <si>
    <t>Mycoreovirus 3</t>
  </si>
  <si>
    <t>Orbivirus</t>
  </si>
  <si>
    <t>Molluscum contagiosum virus</t>
  </si>
  <si>
    <t>Tomato leaf curl China virus</t>
  </si>
  <si>
    <t>Grapevine Algerian latent virus</t>
  </si>
  <si>
    <t>Havel River virus</t>
  </si>
  <si>
    <t>Lato River virus</t>
  </si>
  <si>
    <t>Limonium flower distortion virus</t>
  </si>
  <si>
    <t>Moroccan pepper virus</t>
  </si>
  <si>
    <t>Neckar River virus</t>
  </si>
  <si>
    <t>Pelargonium leaf curl virus</t>
  </si>
  <si>
    <t>Pelargonium necrotic spot virus</t>
  </si>
  <si>
    <t>Tomato yellow leaf curl Mali virus</t>
  </si>
  <si>
    <t>Commelina yellow mottle virus</t>
  </si>
  <si>
    <t>Carnation etched ring virus</t>
  </si>
  <si>
    <t>Cauliflower mosaic virus</t>
  </si>
  <si>
    <t>Bdellomicrovirus</t>
  </si>
  <si>
    <t>Chlamydiamicrovirus</t>
  </si>
  <si>
    <t>Cowpea mild mottle virus</t>
  </si>
  <si>
    <t>Daphne virus S</t>
  </si>
  <si>
    <t>Narcissus common latent virus</t>
  </si>
  <si>
    <t>Nerine latent virus</t>
  </si>
  <si>
    <t>Passiflora latent virus</t>
  </si>
  <si>
    <t>Pea streak virus</t>
  </si>
  <si>
    <t>Poplar mosaic virus</t>
  </si>
  <si>
    <t>Potato latent virus</t>
  </si>
  <si>
    <t>Potato virus M</t>
  </si>
  <si>
    <t>Potato virus P</t>
  </si>
  <si>
    <t>Potato virus S</t>
  </si>
  <si>
    <t>Red clover vein mosaic virus</t>
  </si>
  <si>
    <t>Shallot latent virus</t>
  </si>
  <si>
    <t>Starling circovirus</t>
  </si>
  <si>
    <t>Gyrovirus</t>
  </si>
  <si>
    <t>Chicken anemia virus</t>
  </si>
  <si>
    <t>Closteroviridae</t>
  </si>
  <si>
    <t>Ampelovirus</t>
  </si>
  <si>
    <t>Tobacco streak virus</t>
  </si>
  <si>
    <t>Tulare apple mosaic virus</t>
  </si>
  <si>
    <t>Oleavirus</t>
  </si>
  <si>
    <t>Olive latent virus 2</t>
  </si>
  <si>
    <t>Acidianus filamentous virus 2</t>
  </si>
  <si>
    <t>Gammalipothrixvirus</t>
  </si>
  <si>
    <t>Acidianus filamentous virus 1</t>
  </si>
  <si>
    <t>Luteoviridae</t>
  </si>
  <si>
    <t>Lettuce chlorosis virus</t>
  </si>
  <si>
    <t>Lettuce infectious yellows virus</t>
  </si>
  <si>
    <t>Potato yellow vein virus</t>
  </si>
  <si>
    <t>Strawberry pallidosis-associated virus</t>
  </si>
  <si>
    <t>Beet mild yellowing virus</t>
  </si>
  <si>
    <t>Orthobunyavirus</t>
  </si>
  <si>
    <t>Groundnut rosette assistor virus</t>
  </si>
  <si>
    <t>Indonesian soybean dwarf virus</t>
  </si>
  <si>
    <t>Sweet potato leaf speckling virus</t>
  </si>
  <si>
    <t>Tobacco necrotic dwarf virus</t>
  </si>
  <si>
    <t>Cherry green ring mottle virus</t>
  </si>
  <si>
    <t>Cherry necrotic rusty mottle virus</t>
  </si>
  <si>
    <t>Potato virus T</t>
  </si>
  <si>
    <t>African cassava mosaic virus</t>
  </si>
  <si>
    <t>Ageratum enation virus</t>
  </si>
  <si>
    <t>Ageratum leaf curl virus</t>
  </si>
  <si>
    <t>Ageratum yellow vein Hualian virus</t>
  </si>
  <si>
    <t>Ageratum yellow vein Sri Lanka virus</t>
  </si>
  <si>
    <t>Ageratum yellow vein virus</t>
  </si>
  <si>
    <t>Alternanthera yellow vein virus</t>
  </si>
  <si>
    <t>Bean calico mosaic virus</t>
  </si>
  <si>
    <t>Bean dwarf mosaic virus</t>
  </si>
  <si>
    <t>Montana myotis leukoencephalitis virus</t>
  </si>
  <si>
    <t>Cilevirus</t>
  </si>
  <si>
    <t>Citrus leprosis virus C</t>
  </si>
  <si>
    <t>Virgaviridae</t>
  </si>
  <si>
    <t>Torradovirus</t>
  </si>
  <si>
    <t>Tomato torrado virus</t>
  </si>
  <si>
    <t>Tomato marchitez virus</t>
  </si>
  <si>
    <t>Secoviridae</t>
  </si>
  <si>
    <t>Maize necrotic streak virus</t>
  </si>
  <si>
    <t>Pelargonium line pattern virus</t>
  </si>
  <si>
    <t>Caliciviridae</t>
  </si>
  <si>
    <t>Lagovirus</t>
  </si>
  <si>
    <t>European brown hare syndrome virus</t>
  </si>
  <si>
    <t>Rabbit hemorrhagic disease virus</t>
  </si>
  <si>
    <t>Norovirus</t>
  </si>
  <si>
    <t>Norwalk virus</t>
  </si>
  <si>
    <t>Sapovirus</t>
  </si>
  <si>
    <t>Sapporo virus</t>
  </si>
  <si>
    <t>Vesivirus</t>
  </si>
  <si>
    <t>Feline calicivirus</t>
  </si>
  <si>
    <t>Vesicular exanthema of swine virus</t>
  </si>
  <si>
    <t>Caulimoviridae</t>
  </si>
  <si>
    <t>Badnavirus</t>
  </si>
  <si>
    <t>Aglaonema bacilliform virus</t>
  </si>
  <si>
    <t>Semotivirus</t>
  </si>
  <si>
    <t>Anopheles gambiae Moose virus</t>
  </si>
  <si>
    <t>Ascaris lumbricoides Tas virus</t>
  </si>
  <si>
    <t>Bombyx mori Pao virus</t>
  </si>
  <si>
    <t>Canna yellow mottle virus</t>
  </si>
  <si>
    <t>Chironomus attenuatus entomopoxvirus</t>
  </si>
  <si>
    <t>Sugarcane bacilliform IM virus</t>
  </si>
  <si>
    <t>Taro bacilliform virus</t>
  </si>
  <si>
    <t>Lettuce virus X</t>
  </si>
  <si>
    <t>Piper yellow mottle virus</t>
  </si>
  <si>
    <t>Rubus yellow net virus</t>
  </si>
  <si>
    <t>Schefflera ringspot virus</t>
  </si>
  <si>
    <t>Spiromicrovirus</t>
  </si>
  <si>
    <t>Mimiviridae</t>
  </si>
  <si>
    <t>Mimivirus</t>
  </si>
  <si>
    <t>Acanthamoeba polyphaga mimivirus</t>
  </si>
  <si>
    <t>Nanoviridae</t>
  </si>
  <si>
    <t>Babuvirus</t>
  </si>
  <si>
    <t>Banana bunchy top virus</t>
  </si>
  <si>
    <t>Nanovirus</t>
  </si>
  <si>
    <t>Dahlia mosaic virus</t>
  </si>
  <si>
    <t>Chrysanthemum virus B</t>
  </si>
  <si>
    <t>Cole latent virus</t>
  </si>
  <si>
    <t>Lily symptomless virus</t>
  </si>
  <si>
    <t>Melon yellowing-associated virus</t>
  </si>
  <si>
    <t>Pospiviroidae</t>
  </si>
  <si>
    <t>Apscaviroid</t>
  </si>
  <si>
    <t>Apple dimple fruit viroid</t>
  </si>
  <si>
    <t>Apple scar skin viroid</t>
  </si>
  <si>
    <t>Australian grapevine viroid</t>
  </si>
  <si>
    <t>Citrus bent leaf viroid</t>
  </si>
  <si>
    <t>Citrus dwarfing viroid</t>
  </si>
  <si>
    <t>Grapevine yellow speckle viroid 1</t>
  </si>
  <si>
    <t>Grapevine yellow speckle viroid 2</t>
  </si>
  <si>
    <t>Pear blister canker viroid</t>
  </si>
  <si>
    <t>Cocadviroid</t>
  </si>
  <si>
    <t>Citrus bark cracking viroid</t>
  </si>
  <si>
    <t>Coconut cadang-cadang viroid</t>
  </si>
  <si>
    <t>Coconut tinangaja viroid</t>
  </si>
  <si>
    <t>Hop latent viroid</t>
  </si>
  <si>
    <t>Grapevine leafroll-associated virus 1</t>
  </si>
  <si>
    <t>Grapevine leafroll-associated virus 3</t>
  </si>
  <si>
    <t>Little cherry virus 2</t>
  </si>
  <si>
    <t>Pineapple mealybug wilt-associated virus 1</t>
  </si>
  <si>
    <t>Pineapple mealybug wilt-associated virus 2</t>
  </si>
  <si>
    <t>Closterovirus</t>
  </si>
  <si>
    <t>Beet yellow stunt virus</t>
  </si>
  <si>
    <t>Beet yellows virus</t>
  </si>
  <si>
    <t>Burdock yellows virus</t>
  </si>
  <si>
    <t>Carnation necrotic fleck virus</t>
  </si>
  <si>
    <t>Carrot yellow leaf virus</t>
  </si>
  <si>
    <t>Citrus tristeza virus</t>
  </si>
  <si>
    <t>Grapevine leafroll-associated virus 2</t>
  </si>
  <si>
    <t>Mint virus 1</t>
  </si>
  <si>
    <t>Wheat yellow leaf virus</t>
  </si>
  <si>
    <t>Crinivirus</t>
  </si>
  <si>
    <t>Abutilon yellows virus</t>
  </si>
  <si>
    <t>Cucurbit yellow stunting disorder virus</t>
  </si>
  <si>
    <t>Corticoviridae</t>
  </si>
  <si>
    <t>Corticovirus</t>
  </si>
  <si>
    <t>Volvox carteri Lueckenbuesser virus</t>
  </si>
  <si>
    <t>Cystoviridae</t>
  </si>
  <si>
    <t>Tomato mild mottle virus</t>
  </si>
  <si>
    <t>Poxviridae</t>
  </si>
  <si>
    <t>Chordopoxvirinae</t>
  </si>
  <si>
    <t>Avipoxvirus</t>
  </si>
  <si>
    <t>Cystovirus</t>
  </si>
  <si>
    <t>Apricot pseudo-chlorotic leaf spot virus</t>
  </si>
  <si>
    <t>Cherry mottle leaf virus</t>
  </si>
  <si>
    <t>Grapevine berry inner necrosis virus</t>
  </si>
  <si>
    <t>Peach mosaic virus</t>
  </si>
  <si>
    <t>Banana mild mosaic virus</t>
  </si>
  <si>
    <t>Heracleum latent virus</t>
  </si>
  <si>
    <t>Fuselloviridae</t>
  </si>
  <si>
    <t>Sulfolobus spindle-shaped virus 1</t>
  </si>
  <si>
    <t>Geminiviridae</t>
  </si>
  <si>
    <t>Begomovirus</t>
  </si>
  <si>
    <t>Abutilon mosaic virus</t>
  </si>
  <si>
    <t>Cocksfoot streak virus</t>
  </si>
  <si>
    <t>Colombian datura virus</t>
  </si>
  <si>
    <t>Commelina mosaic virus</t>
  </si>
  <si>
    <t>Cowpea aphid-borne mosaic virus</t>
  </si>
  <si>
    <t>Cypripedium virus Y</t>
  </si>
  <si>
    <t>Daphne mosaic virus</t>
  </si>
  <si>
    <t>Dasheen mosaic virus</t>
  </si>
  <si>
    <t>Datura shoestring virus</t>
  </si>
  <si>
    <t>Diuris virus Y</t>
  </si>
  <si>
    <t>East Asian Passiflora virus</t>
  </si>
  <si>
    <t>Endive necrotic mosaic virus</t>
  </si>
  <si>
    <t>Euphorbia ringspot virus</t>
  </si>
  <si>
    <t>Freesia mosaic virus</t>
  </si>
  <si>
    <t>Fritillary virus Y</t>
  </si>
  <si>
    <t>Gloriosa stripe mosaic virus</t>
  </si>
  <si>
    <t>Algerian watermelon mosaic virus</t>
  </si>
  <si>
    <t>Alternanthera mild mosaic virus</t>
  </si>
  <si>
    <t>Angelica virus Y</t>
  </si>
  <si>
    <t>Butterfly flower mosaic virus</t>
  </si>
  <si>
    <t>Canna yellow streak virus</t>
  </si>
  <si>
    <t>Hardenbergia mosaic virus</t>
  </si>
  <si>
    <t>Peach chlorotic mottle virus</t>
  </si>
  <si>
    <t>Mint virus 2</t>
  </si>
  <si>
    <t>Coleus vein necrosis virus</t>
  </si>
  <si>
    <t>Ligustrum necrotic ringspot virus</t>
  </si>
  <si>
    <t>Malva mosaic virus</t>
  </si>
  <si>
    <t>Phaius virus X</t>
  </si>
  <si>
    <t>Johnsongrass chlorotic stripe mosaic virus</t>
  </si>
  <si>
    <t>Lolavirus</t>
  </si>
  <si>
    <t>Lolium latent virus</t>
  </si>
  <si>
    <t>Plum bark necrosis stem pitting-associated virus</t>
  </si>
  <si>
    <t>Bean yellow disorder virus</t>
  </si>
  <si>
    <t>Banana streak GF virus</t>
  </si>
  <si>
    <t>Banana streak OL virus</t>
  </si>
  <si>
    <t>Cacao swollen shoot virus</t>
  </si>
  <si>
    <t>Salmonid herpesvirus 2</t>
  </si>
  <si>
    <t>Bovine rhinitis B virus</t>
  </si>
  <si>
    <t>Chironomus luridus entomopoxvirus</t>
  </si>
  <si>
    <t>Caulimovirus</t>
  </si>
  <si>
    <t>Diachasmimorpha entomopoxvirus</t>
  </si>
  <si>
    <t>Pseudoviridae</t>
  </si>
  <si>
    <t>Hemivirus</t>
  </si>
  <si>
    <t>Arracacha mottle virus</t>
  </si>
  <si>
    <t>Brugmansia suaveolens mottle virus</t>
  </si>
  <si>
    <t>Chilli ringspot virus</t>
  </si>
  <si>
    <t>Malva vein clearing virus</t>
  </si>
  <si>
    <t>Telosma mosaic virus</t>
  </si>
  <si>
    <t>Twisted-stalk chlorotic streak virus</t>
  </si>
  <si>
    <t>Vallota mosaic virus</t>
  </si>
  <si>
    <t>Wild tomato mosaic virus</t>
  </si>
  <si>
    <t>Wheat eqlid mosaic virus</t>
  </si>
  <si>
    <t>Carrot necrotic dieback virus</t>
  </si>
  <si>
    <t>Black raspberry necrosis virus</t>
  </si>
  <si>
    <t>Citrus viroid V</t>
  </si>
  <si>
    <t>Citrus viroid VI</t>
  </si>
  <si>
    <t>Beet curly top Iran virus</t>
  </si>
  <si>
    <t>Alligatorweed stunting virus</t>
  </si>
  <si>
    <t>Grapevine leafroll-associated virus 7</t>
  </si>
  <si>
    <t>Little cherry virus 1</t>
  </si>
  <si>
    <t>Megakepasma mosaic virus</t>
  </si>
  <si>
    <t>Olive leaf yellowing-associated virus</t>
  </si>
  <si>
    <t>Aurivirus</t>
  </si>
  <si>
    <t>Haliotid herpesvirus 1</t>
  </si>
  <si>
    <t>Ligamenvirales</t>
  </si>
  <si>
    <t>Perhabdovirus</t>
  </si>
  <si>
    <t>Sigmavirus</t>
  </si>
  <si>
    <t>Drosophila affinis sigmavirus</t>
  </si>
  <si>
    <t>Drosophila ananassae sigmavirus</t>
  </si>
  <si>
    <t>Drosophila immigrans sigmavirus</t>
  </si>
  <si>
    <t>Drosophila melanogaster sigmavirus</t>
  </si>
  <si>
    <t>Drosophila obscura sigmavirus</t>
  </si>
  <si>
    <t>Drosophila tristis sigmavirus</t>
  </si>
  <si>
    <t>Muscina stabulans sigmavirus</t>
  </si>
  <si>
    <t>Tibrovirus</t>
  </si>
  <si>
    <t>Mesoniviridae</t>
  </si>
  <si>
    <t>Alphamesonivirus</t>
  </si>
  <si>
    <t>Alphamesonivirus 1</t>
  </si>
  <si>
    <t>Aquamavirus</t>
  </si>
  <si>
    <t>Aquamavirus A</t>
  </si>
  <si>
    <t>Cosavirus</t>
  </si>
  <si>
    <t>Cosavirus A</t>
  </si>
  <si>
    <t>Dicipivirus</t>
  </si>
  <si>
    <t>Cadicivirus A</t>
  </si>
  <si>
    <t>Enterovirus A</t>
  </si>
  <si>
    <t>Enterovirus B</t>
  </si>
  <si>
    <t>Enterovirus C</t>
  </si>
  <si>
    <t>Enterovirus D</t>
  </si>
  <si>
    <t>Enterovirus E</t>
  </si>
  <si>
    <t>Enterovirus F</t>
  </si>
  <si>
    <t>Enterovirus G</t>
  </si>
  <si>
    <t>Enterovirus H</t>
  </si>
  <si>
    <t>Enterovirus J</t>
  </si>
  <si>
    <t>Rhinovirus A</t>
  </si>
  <si>
    <t>Rhinovirus B</t>
  </si>
  <si>
    <t>Rhinovirus C</t>
  </si>
  <si>
    <t>Aichivirus A</t>
  </si>
  <si>
    <t>Aichivirus B</t>
  </si>
  <si>
    <t>Aichivirus C</t>
  </si>
  <si>
    <t>Megrivirus</t>
  </si>
  <si>
    <t>Salivirus</t>
  </si>
  <si>
    <t>Salivirus A</t>
  </si>
  <si>
    <t>Cucurbit mild mosaic virus</t>
  </si>
  <si>
    <t>Blueberry latent spherical virus</t>
  </si>
  <si>
    <t>Allium virus X</t>
  </si>
  <si>
    <t>Lagenaria mild mosaic virus</t>
  </si>
  <si>
    <t>Blackberry virus E</t>
  </si>
  <si>
    <t>Butterbur mosaic virus</t>
  </si>
  <si>
    <t>Cucumber vein-clearing virus</t>
  </si>
  <si>
    <t>Helleborus mosaic virus</t>
  </si>
  <si>
    <t>Hippeastrum latent virus</t>
  </si>
  <si>
    <t>Hydrangea chlorotic mottle virus</t>
  </si>
  <si>
    <t>Mirabilis jalapa mottle virus</t>
  </si>
  <si>
    <t>Phlox virus B</t>
  </si>
  <si>
    <t>Phlox virus M</t>
  </si>
  <si>
    <t>Phlox virus S</t>
  </si>
  <si>
    <t>Sweet potato C6 virus</t>
  </si>
  <si>
    <t>Asian prunus virus 1</t>
  </si>
  <si>
    <t>Grapevine Pinot gris virus</t>
  </si>
  <si>
    <t>Phlomis mottle virus</t>
  </si>
  <si>
    <t>Banana virus X</t>
  </si>
  <si>
    <t>Hardenbergia virus A</t>
  </si>
  <si>
    <t>Actinidia virus A</t>
  </si>
  <si>
    <t>Antheraea pernyi nucleopolyhedrovirus</t>
  </si>
  <si>
    <t>Chrysodeixis chalcites nucleopolyhedrovirus</t>
  </si>
  <si>
    <t>Clanis bilineata nucleopolyhedrovirus</t>
  </si>
  <si>
    <t>Euproctis pseudoconspersa nucleopolyhedrovirus</t>
  </si>
  <si>
    <t>Hyphantria cunea nucleopolyhedrovirus</t>
  </si>
  <si>
    <t>Leucania separata nucleopolyhedrovirus</t>
  </si>
  <si>
    <t>Maruca vitrata nucleopolyhedrovirus</t>
  </si>
  <si>
    <t>Amasya cherry disease associated chrysovirus</t>
  </si>
  <si>
    <t>Aspergillus fumigatus chrysovirus</t>
  </si>
  <si>
    <t>Cryphonectria nitschkei chrysovirus 1</t>
  </si>
  <si>
    <t>Fusarium oxysporum chrysovirus 1</t>
  </si>
  <si>
    <t>Verticillium dahliae chrysovirus 1</t>
  </si>
  <si>
    <t>Grapevine leafroll-associated virus 4</t>
  </si>
  <si>
    <t>Diodia vein chlorosis virus</t>
  </si>
  <si>
    <t>Pegivirus</t>
  </si>
  <si>
    <t>Pegivirus A</t>
  </si>
  <si>
    <t>Pegivirus B</t>
  </si>
  <si>
    <t>Alphafusellovirus</t>
  </si>
  <si>
    <t>Sulfolobus spindle-shaped virus 2</t>
  </si>
  <si>
    <t>Sulfolobus spindle-shaped virus 4</t>
  </si>
  <si>
    <t>Sulfolobus spindle-shaped virus 5</t>
  </si>
  <si>
    <t>Sulfolobus spindle-shaped virus 7</t>
  </si>
  <si>
    <t>Sulfolobus spindle-shaped virus 8</t>
  </si>
  <si>
    <t>Sulfolobus spindle-shaped virus 9</t>
  </si>
  <si>
    <t>Betafusellovirus</t>
  </si>
  <si>
    <t>Acidianus spindle-shaped virus 1</t>
  </si>
  <si>
    <t>Sulfolobus spindle-shaped virus 6</t>
  </si>
  <si>
    <t>Becurtovirus</t>
  </si>
  <si>
    <t>Spinach curly top Arizona virus</t>
  </si>
  <si>
    <t>Spinach severe curly top virus</t>
  </si>
  <si>
    <t>Eragrovirus</t>
  </si>
  <si>
    <t>Eragrostis curvula streak virus</t>
  </si>
  <si>
    <t>Bromus catharticus striate mosaic virus</t>
  </si>
  <si>
    <t>Chickpea chlorosis Australia virus</t>
  </si>
  <si>
    <t>Chickpea chlorosis virus</t>
  </si>
  <si>
    <t>Chickpea chlorotic dwarf virus</t>
  </si>
  <si>
    <t>Chickpea redleaf virus</t>
  </si>
  <si>
    <t>Chickpea yellows virus</t>
  </si>
  <si>
    <t>Digitaria ciliaris striate mosaic virus</t>
  </si>
  <si>
    <t>Digitaria didactyla striate mosaic virus</t>
  </si>
  <si>
    <t>Eragrostis minor streak virus</t>
  </si>
  <si>
    <t>Maize streak Reunion virus</t>
  </si>
  <si>
    <t>Oat dwarf virus</t>
  </si>
  <si>
    <t>Paspalum dilatatum striate mosaic virus</t>
  </si>
  <si>
    <t>Paspalum striate mosaic virus</t>
  </si>
  <si>
    <t>Saccharum streak virus</t>
  </si>
  <si>
    <t>Wheat dwarf India virus</t>
  </si>
  <si>
    <t>Turncurtovirus</t>
  </si>
  <si>
    <t>Turnip curly top virus</t>
  </si>
  <si>
    <t>Alphaguttavirus</t>
  </si>
  <si>
    <t>Betaguttavirus</t>
  </si>
  <si>
    <t>Aeropyrum pernix ovoid virus 1</t>
  </si>
  <si>
    <t>Cafeteriavirus</t>
  </si>
  <si>
    <t>Cafeteria roenbergensis virus</t>
  </si>
  <si>
    <t>Faba bean yellow leaf virus</t>
  </si>
  <si>
    <t>Quaranjavirus</t>
  </si>
  <si>
    <t>Quadriviridae</t>
  </si>
  <si>
    <t>Quadrivirus</t>
  </si>
  <si>
    <t>Rosellinia necatrix quadrivirus 1</t>
  </si>
  <si>
    <t>Madariaga virus</t>
  </si>
  <si>
    <t>Alphanecrovirus</t>
  </si>
  <si>
    <t>Betanecrovirus</t>
  </si>
  <si>
    <t>Gallantivirus</t>
  </si>
  <si>
    <t>Macanavirus</t>
  </si>
  <si>
    <t>Furcraea necrotic streak virus</t>
  </si>
  <si>
    <t>Zeavirus</t>
  </si>
  <si>
    <t>Rice stripe necrosis virus</t>
  </si>
  <si>
    <t>Bell pepper mottle virus</t>
  </si>
  <si>
    <t>Cactus mild mottle virus</t>
  </si>
  <si>
    <t>Clitoria yellow mottle virus</t>
  </si>
  <si>
    <t>Cucumber mottle virus</t>
  </si>
  <si>
    <t>Maracuja mosaic virus</t>
  </si>
  <si>
    <t>Passion fruit mosaic virus</t>
  </si>
  <si>
    <t>Rattail cactus necrosis-associated virus</t>
  </si>
  <si>
    <t>Tropical soda apple mosaic virus</t>
  </si>
  <si>
    <t>Actinidia virus B</t>
  </si>
  <si>
    <t>Cuevavirus</t>
  </si>
  <si>
    <t>Lloviu cuevavirus</t>
  </si>
  <si>
    <t>Nyamiviridae</t>
  </si>
  <si>
    <t>Nyavirus</t>
  </si>
  <si>
    <t>Midway nyavirus</t>
  </si>
  <si>
    <t>Nyamanini nyavirus</t>
  </si>
  <si>
    <t>Bokeloh bat lyssavirus</t>
  </si>
  <si>
    <t>Ikoma lyssavirus</t>
  </si>
  <si>
    <t>Sprivivirus</t>
  </si>
  <si>
    <t>Tupavirus</t>
  </si>
  <si>
    <t>Lygus lineolaris virus 1</t>
  </si>
  <si>
    <t>Nilaparvata lugens honeydew virus 1</t>
  </si>
  <si>
    <t>Avisivirus</t>
  </si>
  <si>
    <t>Avisivirus A</t>
  </si>
  <si>
    <t>Gallivirus</t>
  </si>
  <si>
    <t>Gallivirus A</t>
  </si>
  <si>
    <t>Hunnivirus</t>
  </si>
  <si>
    <t>Hunnivirus A</t>
  </si>
  <si>
    <t>Mischivirus</t>
  </si>
  <si>
    <t>Mischivirus A</t>
  </si>
  <si>
    <t>Mosavirus</t>
  </si>
  <si>
    <t>Mosavirus A</t>
  </si>
  <si>
    <t>Oscivirus</t>
  </si>
  <si>
    <t>Oscivirus A</t>
  </si>
  <si>
    <t>Pasivirus</t>
  </si>
  <si>
    <t>Pasivirus A</t>
  </si>
  <si>
    <t>Passerivirus</t>
  </si>
  <si>
    <t>Passerivirus A</t>
  </si>
  <si>
    <t>Rosavirus</t>
  </si>
  <si>
    <t>Rosavirus A</t>
  </si>
  <si>
    <t>Arracacha virus B</t>
  </si>
  <si>
    <t>Citrus yellow vein clearing virus</t>
  </si>
  <si>
    <t>Rubus canadensis virus 1</t>
  </si>
  <si>
    <t>Diuris virus A</t>
  </si>
  <si>
    <t>Diuris virus B</t>
  </si>
  <si>
    <t>Grapevine virus F</t>
  </si>
  <si>
    <t>Andean potato mild mosaic virus</t>
  </si>
  <si>
    <t>Bovine atadenovirus D</t>
  </si>
  <si>
    <t>Duck atadenovirus A</t>
  </si>
  <si>
    <t>Ovine atadenovirus D</t>
  </si>
  <si>
    <t>Possum atadenovirus A</t>
  </si>
  <si>
    <t>Snake atadenovirus A</t>
  </si>
  <si>
    <t>Falcon aviadenovirus A</t>
  </si>
  <si>
    <t>Fowl aviadenovirus A</t>
  </si>
  <si>
    <t>Fowl aviadenovirus B</t>
  </si>
  <si>
    <t>Fowl aviadenovirus C</t>
  </si>
  <si>
    <t>Fowl aviadenovirus D</t>
  </si>
  <si>
    <t>Fowl aviadenovirus E</t>
  </si>
  <si>
    <t>Goose aviadenovirus A</t>
  </si>
  <si>
    <t>Turkey aviadenovirus B</t>
  </si>
  <si>
    <t>Sturgeon ichtadenovirus A</t>
  </si>
  <si>
    <t>Bat mastadenovirus A</t>
  </si>
  <si>
    <t>Bat mastadenovirus B</t>
  </si>
  <si>
    <t>Bovine mastadenovirus A</t>
  </si>
  <si>
    <t>Bovine mastadenovirus B</t>
  </si>
  <si>
    <t>Bovine mastadenovirus C</t>
  </si>
  <si>
    <t>Canine mastadenovirus A</t>
  </si>
  <si>
    <t>Equine mastadenovirus A</t>
  </si>
  <si>
    <t>Equine mastadenovirus B</t>
  </si>
  <si>
    <t>Human mastadenovirus A</t>
  </si>
  <si>
    <t>Human mastadenovirus B</t>
  </si>
  <si>
    <t>Human mastadenovirus C</t>
  </si>
  <si>
    <t>Human mastadenovirus D</t>
  </si>
  <si>
    <t>Human mastadenovirus E</t>
  </si>
  <si>
    <t>Human mastadenovirus F</t>
  </si>
  <si>
    <t>Human mastadenovirus G</t>
  </si>
  <si>
    <t>Murine mastadenovirus A</t>
  </si>
  <si>
    <t>Murine mastadenovirus B</t>
  </si>
  <si>
    <t>Murine mastadenovirus C</t>
  </si>
  <si>
    <t>Ovine mastadenovirus A</t>
  </si>
  <si>
    <t>Ovine mastadenovirus B</t>
  </si>
  <si>
    <t>Porcine mastadenovirus A</t>
  </si>
  <si>
    <t>Porcine mastadenovirus B</t>
  </si>
  <si>
    <t>Porcine mastadenovirus C</t>
  </si>
  <si>
    <t>Simian mastadenovirus A</t>
  </si>
  <si>
    <t>Tree shrew mastadenovirus A</t>
  </si>
  <si>
    <t>Frog siadenovirus A</t>
  </si>
  <si>
    <t>Great tit siadenovirus A</t>
  </si>
  <si>
    <t>Raptor siadenovirus A</t>
  </si>
  <si>
    <t>Skua siadenovirus A</t>
  </si>
  <si>
    <t>Turkey siadenovirus A</t>
  </si>
  <si>
    <t>Amalgaviridae</t>
  </si>
  <si>
    <t>Amalgavirus</t>
  </si>
  <si>
    <t>Blueberry latent virus</t>
  </si>
  <si>
    <t>Rhododendron virus A</t>
  </si>
  <si>
    <t>Southern tomato virus</t>
  </si>
  <si>
    <t>Vicia cryptic virus M</t>
  </si>
  <si>
    <t>Benyviridae</t>
  </si>
  <si>
    <t>Burdock mottle virus</t>
  </si>
  <si>
    <t>Amazon lily mild mottle virus</t>
  </si>
  <si>
    <t>Velarivirus</t>
  </si>
  <si>
    <t>Cordyline virus 1</t>
  </si>
  <si>
    <t>Abutilon mosaic Bolivia virus</t>
  </si>
  <si>
    <t>Abutilon mosaic Brazil virus</t>
  </si>
  <si>
    <t>Allamanda leaf curl virus</t>
  </si>
  <si>
    <t>Bean chlorosis virus</t>
  </si>
  <si>
    <t>Bean yellow mosaic Mexico virus</t>
  </si>
  <si>
    <t>Bhendi yellow vein Bhubhaneswar virus</t>
  </si>
  <si>
    <t>Bhendi yellow vein Haryana virus</t>
  </si>
  <si>
    <t>Blainvillea yellow spot virus</t>
  </si>
  <si>
    <t>Blechum interveinal chlorosis virus</t>
  </si>
  <si>
    <t>Centrosema yellow spot virus</t>
  </si>
  <si>
    <t>Chino del tomate Amazonas virus</t>
  </si>
  <si>
    <t>Cleome golden mosaic virus</t>
  </si>
  <si>
    <t>Cleome leaf crumple virus</t>
  </si>
  <si>
    <t>Dalechampia chlorotic mosaic virus</t>
  </si>
  <si>
    <t>Datura leaf distortion virus</t>
  </si>
  <si>
    <t>Euphorbia yellow mosaic virus</t>
  </si>
  <si>
    <t>Hollyhock leaf curl virus</t>
  </si>
  <si>
    <t>Jacquemontia mosaic Yucatan virus</t>
  </si>
  <si>
    <t>Jatropha mosaic India virus</t>
  </si>
  <si>
    <t>Leonurus mosaic virus</t>
  </si>
  <si>
    <t>Macroptilium golden mosaic virus</t>
  </si>
  <si>
    <t>Macroptilium yellow spot virus</t>
  </si>
  <si>
    <t>Macroptilium yellow vein virus</t>
  </si>
  <si>
    <t>Malvastrum yellow mosaic Helshire virus</t>
  </si>
  <si>
    <t>Malvastrum yellow mosaic Jamaica virus</t>
  </si>
  <si>
    <t>Malvastrum yellow vein Honghe virus</t>
  </si>
  <si>
    <t>Melon chlorotic mosaic virus</t>
  </si>
  <si>
    <t>Merremia mosaic Puerto Rico virus</t>
  </si>
  <si>
    <t>Okra enation leaf curl virus</t>
  </si>
  <si>
    <t>Okra mottle virus</t>
  </si>
  <si>
    <t>Papaya leaf crumple virus</t>
  </si>
  <si>
    <t>Passionfruit severe leaf distortion virus</t>
  </si>
  <si>
    <t>Pepper leaf curl Yunnan virus</t>
  </si>
  <si>
    <t>Rhynchosia golden mosaic Havana virus</t>
  </si>
  <si>
    <t>Rhynchosia golden mosaic Yucatan virus</t>
  </si>
  <si>
    <t>Rhynchosia mild mosaic virus</t>
  </si>
  <si>
    <t>Rhynchosia rugose golden mosaic virus</t>
  </si>
  <si>
    <t>Rhynchosia yellow mosaic virus</t>
  </si>
  <si>
    <t>Rose leaf curl virus</t>
  </si>
  <si>
    <t>Sida golden mosaic Braco virus</t>
  </si>
  <si>
    <t>Sida golden mosaic Buckup virus</t>
  </si>
  <si>
    <t>Sida golden mottle virus</t>
  </si>
  <si>
    <t>Sida mosaic Alagoas virus</t>
  </si>
  <si>
    <t>Sida mosaic Bolivia virus 1</t>
  </si>
  <si>
    <t>Sida mosaic Bolivia virus 2</t>
  </si>
  <si>
    <t>Sida mosaic Sinaloa virus</t>
  </si>
  <si>
    <t>Sida mottle Alagoas virus</t>
  </si>
  <si>
    <t>Sida yellow blotch virus</t>
  </si>
  <si>
    <t>Sida yellow mosaic Alagoas virus</t>
  </si>
  <si>
    <t>Sida yellow mottle virus</t>
  </si>
  <si>
    <t>Sida yellow net virus</t>
  </si>
  <si>
    <t>Soybean mild mottle virus</t>
  </si>
  <si>
    <t>Sweet potato leaf curl Sao Paulo virus</t>
  </si>
  <si>
    <t>Sweet potato leaf curl South Carolina virus</t>
  </si>
  <si>
    <t>Sweet potato leaf curl Uganda virus</t>
  </si>
  <si>
    <t>Sweet potato mosaic virus</t>
  </si>
  <si>
    <t>Tobacco leaf curl Pusa virus</t>
  </si>
  <si>
    <t>Tobacco leaf curl Thailand virus</t>
  </si>
  <si>
    <t>Tobacco leaf rugose virus</t>
  </si>
  <si>
    <t>Tobacco mottle leaf curl virus</t>
  </si>
  <si>
    <t>Tobacco yellow crinkle virus</t>
  </si>
  <si>
    <t>Tomato chlorotic leaf distortion virus</t>
  </si>
  <si>
    <t>Tomato common mosaic virus</t>
  </si>
  <si>
    <t>Tomato dwarf leaf virus</t>
  </si>
  <si>
    <t>Tomato golden vein virus</t>
  </si>
  <si>
    <t>Tomato leaf curl Anjouan virus</t>
  </si>
  <si>
    <t>Tomato leaf curl Cebu virus</t>
  </si>
  <si>
    <t>Tomato leaf curl Diana virus</t>
  </si>
  <si>
    <t>Tomato leaf curl Ghana virus</t>
  </si>
  <si>
    <t>Tomato leaf curl Hainan virus</t>
  </si>
  <si>
    <t>Tomato leaf curl Hanoi virus</t>
  </si>
  <si>
    <t>Tomato leaf curl Iran virus</t>
  </si>
  <si>
    <t>Tomato leaf curl Mindanao virus</t>
  </si>
  <si>
    <t>Tomato leaf curl Moheli virus</t>
  </si>
  <si>
    <t>Tomato leaf curl Namakely virus</t>
  </si>
  <si>
    <t>Tomato leaf curl Nigeria virus</t>
  </si>
  <si>
    <t>Tomato leaf curl Oman virus</t>
  </si>
  <si>
    <t>Tomato leaf curl Toliara virus</t>
  </si>
  <si>
    <t>Tomato leaf deformation virus</t>
  </si>
  <si>
    <t>Tomato leaf distortion virus</t>
  </si>
  <si>
    <t>Tomato mild mosaic virus</t>
  </si>
  <si>
    <t>Tomato mottle leaf curl virus</t>
  </si>
  <si>
    <t>Tomato rugose yellow leaf curl virus</t>
  </si>
  <si>
    <t>Tomato yellow leaf distortion virus</t>
  </si>
  <si>
    <t>Tomato yellow mottle virus</t>
  </si>
  <si>
    <t>West African Asystasia virus 1</t>
  </si>
  <si>
    <t>West African Asystasia virus 2</t>
  </si>
  <si>
    <t>Wissadula golden mosaic virus</t>
  </si>
  <si>
    <t>Pea enation mosaic virus 1</t>
  </si>
  <si>
    <t>Cotton leafroll dwarf virus</t>
  </si>
  <si>
    <t>Pepper vein yellows virus</t>
  </si>
  <si>
    <t>Suakwa aphid-borne yellows virus</t>
  </si>
  <si>
    <t>Marseilleviridae</t>
  </si>
  <si>
    <t>Marseillevirus</t>
  </si>
  <si>
    <t>Marseillevirus marseillevirus</t>
  </si>
  <si>
    <t>Senegalvirus marseillevirus</t>
  </si>
  <si>
    <t>Lausannevirus</t>
  </si>
  <si>
    <t>Tunisvirus</t>
  </si>
  <si>
    <t>Nudiviridae</t>
  </si>
  <si>
    <t>Alphanudivirus</t>
  </si>
  <si>
    <t>Gryllus bimaculatus nudivirus</t>
  </si>
  <si>
    <t>Oryctes rhinoceros nudivirus</t>
  </si>
  <si>
    <t>Betanudivirus</t>
  </si>
  <si>
    <t>Heliothis zea 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</si>
  <si>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</si>
  <si>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</si>
  <si>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</si>
  <si>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</si>
  <si>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</si>
  <si>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</si>
  <si>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</si>
  <si>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</si>
  <si>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</si>
  <si>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</si>
  <si>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</si>
  <si>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</si>
  <si>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</si>
  <si>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</si>
  <si>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</si>
  <si>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</si>
  <si>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</si>
  <si>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</si>
  <si>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</si>
  <si>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</si>
  <si>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</si>
  <si>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</si>
  <si>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</si>
  <si>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</si>
  <si>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</si>
  <si>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</si>
  <si>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</si>
  <si>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</si>
  <si>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</si>
  <si>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</si>
  <si>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</si>
  <si>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</si>
  <si>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</si>
  <si>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</si>
  <si>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</si>
  <si>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</si>
  <si>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Carrot cryptic virus</t>
  </si>
  <si>
    <t>Cherry chlorotic rusty spot associated partitivirus</t>
  </si>
  <si>
    <t>Chondrostereum purpureum cryptic virus 1</t>
  </si>
  <si>
    <t>Flammulina velutipes browning virus</t>
  </si>
  <si>
    <t>Rosellinia necatrix partitivirus 2</t>
  </si>
  <si>
    <t>Betapartitivirus</t>
  </si>
  <si>
    <t>Cannabis cryptic virus</t>
  </si>
  <si>
    <t>Crimson clover cryptic virus 2</t>
  </si>
  <si>
    <t>Dill cryptic virus 2</t>
  </si>
  <si>
    <t>Primula malacoides virus 1</t>
  </si>
  <si>
    <t>Deltapartitivirus</t>
  </si>
  <si>
    <t>Fig cryptic virus</t>
  </si>
  <si>
    <t>Pepper cryptic virus 1</t>
  </si>
  <si>
    <t>Pepper cryptic virus 2</t>
  </si>
  <si>
    <t>Gammapartitivirus</t>
  </si>
  <si>
    <t>Ambidensovirus</t>
  </si>
  <si>
    <t>Blattodean ambidensovirus 1</t>
  </si>
  <si>
    <t>Blattodean ambidensovirus 2</t>
  </si>
  <si>
    <t>Dipteran ambidensovirus 1</t>
  </si>
  <si>
    <t>Hemipteran ambidensovirus 1</t>
  </si>
  <si>
    <t>Lepidopteran ambidensovirus 1</t>
  </si>
  <si>
    <t>Orthopteran ambidensovirus 1</t>
  </si>
  <si>
    <t>Dipteran brevidensovirus 1</t>
  </si>
  <si>
    <t>Dipteran brevidensovirus 2</t>
  </si>
  <si>
    <t>Hepandensovirus</t>
  </si>
  <si>
    <t>Decapod hepandensovirus 1</t>
  </si>
  <si>
    <t>Iteradensovirus</t>
  </si>
  <si>
    <t>Lepidopteran iteradensovirus 1</t>
  </si>
  <si>
    <t>Lepidopteran iteradensovirus 2</t>
  </si>
  <si>
    <t>Lepidopteran iteradensovirus 3</t>
  </si>
  <si>
    <t>Lepidopteran iteradensovirus 4</t>
  </si>
  <si>
    <t>Lepidopteran iteradensovirus 5</t>
  </si>
  <si>
    <t>Penstyldensovirus</t>
  </si>
  <si>
    <t>Decapod penstyldensovirus 1</t>
  </si>
  <si>
    <t>Amdoparvovirus</t>
  </si>
  <si>
    <t>Carnivore amdoparvovirus 1</t>
  </si>
  <si>
    <t>Carnivore amdoparvovirus 2</t>
  </si>
  <si>
    <t>Aveparvovirus</t>
  </si>
  <si>
    <t>Galliform aveparvovirus 1</t>
  </si>
  <si>
    <t>Bocaparvovirus</t>
  </si>
  <si>
    <t>Carnivore bocaparvovirus 1</t>
  </si>
  <si>
    <t>Carnivore bocaparvovirus 2</t>
  </si>
  <si>
    <t>Carnivore bocaparvovirus 3</t>
  </si>
  <si>
    <t>Pinniped bocaparvovirus 1</t>
  </si>
  <si>
    <t>Pinniped bocaparvovirus 2</t>
  </si>
  <si>
    <t>Primate bocaparvovirus 1</t>
  </si>
  <si>
    <t>Primate bocaparvovirus 2</t>
  </si>
  <si>
    <t>Ungulate bocaparvovirus 1</t>
  </si>
  <si>
    <t>Ungulate bocaparvovirus 2</t>
  </si>
  <si>
    <t>Ungulate bocaparvovirus 3</t>
  </si>
  <si>
    <t>Ungulate bocaparvovirus 4</t>
  </si>
  <si>
    <t>Ungulate bocaparvovirus 5</t>
  </si>
  <si>
    <t>Copiparvovirus</t>
  </si>
  <si>
    <t>Ungulate copiparvovirus 1</t>
  </si>
  <si>
    <t>Ungulate copiparvovirus 2</t>
  </si>
  <si>
    <t>Dependoparvovirus</t>
  </si>
  <si>
    <t>Adeno-associated dependoparvovirus A</t>
  </si>
  <si>
    <t>Adeno-associated dependoparvovirus B</t>
  </si>
  <si>
    <t>Anseriform dependoparvovirus 1</t>
  </si>
  <si>
    <t>Avian dependoparvovirus 1</t>
  </si>
  <si>
    <t>Chiropteran dependoparvovirus 1</t>
  </si>
  <si>
    <t>Pinniped dependoparvovirus 1</t>
  </si>
  <si>
    <t>Squamate dependoparvovirus 1</t>
  </si>
  <si>
    <t>Erythroparvovirus</t>
  </si>
  <si>
    <t>Primate erythroparvovirus 1</t>
  </si>
  <si>
    <t>Primate erythroparvovirus 2</t>
  </si>
  <si>
    <t>Primate erythroparvovirus 3</t>
  </si>
  <si>
    <t>Primate erythroparvovirus 4</t>
  </si>
  <si>
    <t>Rodent erythroparvovirus 1</t>
  </si>
  <si>
    <t>Ungulate erythroparvovirus 1</t>
  </si>
  <si>
    <t>Protoparvovirus</t>
  </si>
  <si>
    <t>Carnivore protoparvovirus 1</t>
  </si>
  <si>
    <t>Primate protoparvovirus 1</t>
  </si>
  <si>
    <t>Rodent protoparvovirus 1</t>
  </si>
  <si>
    <t>Rodent protoparvovirus 2</t>
  </si>
  <si>
    <t>Ungulate protoparvovirus 1</t>
  </si>
  <si>
    <t>Tetraparvovirus</t>
  </si>
  <si>
    <t>Chiropteran tetraparvovirus 1</t>
  </si>
  <si>
    <t>Primate tetraparvovirus 1</t>
  </si>
  <si>
    <t>Ungulate tetraparvovirus 1</t>
  </si>
  <si>
    <t>Ungulate tetraparvovirus 2</t>
  </si>
  <si>
    <t>Ungulate tetraparvovirus 3</t>
  </si>
  <si>
    <t>Ungulate tetraparvovirus 4</t>
  </si>
  <si>
    <t>Rose yellow mosaic virus</t>
  </si>
  <si>
    <t>Spiraviridae</t>
  </si>
  <si>
    <t>Alphaspiravirus</t>
  </si>
  <si>
    <t>Aeropyrum coil-shaped virus</t>
  </si>
  <si>
    <t>Eilat virus</t>
  </si>
  <si>
    <t>Leishmania RNA virus 1</t>
  </si>
  <si>
    <t>Leishmania RNA virus 2</t>
  </si>
  <si>
    <t>Scheffersomyces segobiensis virus L</t>
  </si>
  <si>
    <t>Tuber aestivum virus 1</t>
  </si>
  <si>
    <t>Xanthophyllomyces dendrorhous virus L1A</t>
  </si>
  <si>
    <t>Xanthophyllomyces dendrorhous virus L1B</t>
  </si>
  <si>
    <t>Trichomonas vaginalis virus 4</t>
  </si>
  <si>
    <t>Aspergillus foetidus slow virus 1</t>
  </si>
  <si>
    <t>Beauveria bassiana victorivirus 1</t>
  </si>
  <si>
    <t>Magnaporthe oryzae virus 2</t>
  </si>
  <si>
    <t>Rosellinia necatrix victorivirus 1</t>
  </si>
  <si>
    <t>Tolypocladium cylindrosporum virus 1</t>
  </si>
  <si>
    <t>Turriviridae</t>
  </si>
  <si>
    <t>Alphaturrivirus</t>
  </si>
  <si>
    <t>Sulfolobus turreted icosahedral virus 1</t>
  </si>
  <si>
    <t>Sulfolobus turreted icosahedral virus 2</t>
  </si>
  <si>
    <t>Higrevirus</t>
  </si>
  <si>
    <t>Hibiscus green spot virus 2</t>
  </si>
  <si>
    <t>Pea enation mosaic virus 2</t>
  </si>
  <si>
    <t>Eucampyvirinae</t>
  </si>
  <si>
    <t>Sierra Nevada nyavirus</t>
  </si>
  <si>
    <t>Avihepatovirus A</t>
  </si>
  <si>
    <t>Cardiovirus A</t>
  </si>
  <si>
    <t>Cardiovirus B</t>
  </si>
  <si>
    <t>Cardiovirus C</t>
  </si>
  <si>
    <t>Erbovirus A</t>
  </si>
  <si>
    <t>Hepatovirus A</t>
  </si>
  <si>
    <t>Kunsagivirus</t>
  </si>
  <si>
    <t>Kunsagivirus A</t>
  </si>
  <si>
    <t>Parechovirus A</t>
  </si>
  <si>
    <t>Parechovirus B</t>
  </si>
  <si>
    <t>Sakobuvirus</t>
  </si>
  <si>
    <t>Sakobuvirus A</t>
  </si>
  <si>
    <t>Sapelovirus A</t>
  </si>
  <si>
    <t>Sapelovirus B</t>
  </si>
  <si>
    <t>Senecavirus A</t>
  </si>
  <si>
    <t>Sicinivirus</t>
  </si>
  <si>
    <t>Sicinivirus A</t>
  </si>
  <si>
    <t>Teschovirus A</t>
  </si>
  <si>
    <t>Tremovirus A</t>
  </si>
  <si>
    <t>Lettuce necrotic leaf curl virus</t>
  </si>
  <si>
    <t>Mammarenavirus</t>
  </si>
  <si>
    <t>Allpahuayo mammarenavirus</t>
  </si>
  <si>
    <t>Bear Canyon mammarenavirus</t>
  </si>
  <si>
    <t>Chapare mammarenavirus</t>
  </si>
  <si>
    <t>Cupixi mammarenavirus</t>
  </si>
  <si>
    <t>Flexal mammarenavirus</t>
  </si>
  <si>
    <t>Guanarito mammarenavirus</t>
  </si>
  <si>
    <t>Ippy mammarenavirus</t>
  </si>
  <si>
    <t>Lassa mammarenavirus</t>
  </si>
  <si>
    <t>Latino mammarenavirus</t>
  </si>
  <si>
    <t>Lujo mammarenavirus</t>
  </si>
  <si>
    <t>Luna mammarenavirus</t>
  </si>
  <si>
    <t>Lunk mammarenavirus</t>
  </si>
  <si>
    <t>Lymphocytic choriomeningitis mammarenavirus</t>
  </si>
  <si>
    <t>Machupo mammarenavirus</t>
  </si>
  <si>
    <t>Merino Walk mammarenavirus</t>
  </si>
  <si>
    <t>Mobala mammarenavirus</t>
  </si>
  <si>
    <t>Mopeia mammarenavirus</t>
  </si>
  <si>
    <t>Oliveros mammarenavirus</t>
  </si>
  <si>
    <t>Pirital mammarenavirus</t>
  </si>
  <si>
    <t>Tacaribe mammarenavirus</t>
  </si>
  <si>
    <t>Tamiami mammarenavirus</t>
  </si>
  <si>
    <t>Whitewater Arroyo mammarenavirus</t>
  </si>
  <si>
    <t>Reptarenavirus</t>
  </si>
  <si>
    <t>Banana streak IM virus</t>
  </si>
  <si>
    <t>Banana streak UA virus</t>
  </si>
  <si>
    <t>Banana streak UI virus</t>
  </si>
  <si>
    <t>Banana streak UL virus</t>
  </si>
  <si>
    <t>Banana streak UM virus</t>
  </si>
  <si>
    <t>Fig badnavirus 1</t>
  </si>
  <si>
    <t>Pagoda yellow mosaic associated virus</t>
  </si>
  <si>
    <t>Soybean Putnam virus</t>
  </si>
  <si>
    <t>Rosadnavirus</t>
  </si>
  <si>
    <t>Rose yellow vein virus</t>
  </si>
  <si>
    <t>Orthohepevirus</t>
  </si>
  <si>
    <t>Orthohepevirus A</t>
  </si>
  <si>
    <t>Orthohepevirus B</t>
  </si>
  <si>
    <t>Orthohepevirus C</t>
  </si>
  <si>
    <t>Orthohepevirus D</t>
  </si>
  <si>
    <t>Piscihepevirus</t>
  </si>
  <si>
    <t>Piscihepevirus A</t>
  </si>
  <si>
    <t>Helicobasidium mompa partitivirus V70</t>
  </si>
  <si>
    <t>Heterobasidion partitivirus 1</t>
  </si>
  <si>
    <t>Heterobasidion partitivirus 3</t>
  </si>
  <si>
    <t>Heterobasidion partitivirus 2</t>
  </si>
  <si>
    <t>Heterobasidion partitivirus 8</t>
  </si>
  <si>
    <t>Heterobasidion partitivirus P</t>
  </si>
  <si>
    <t>Dahlia latent viroid</t>
  </si>
  <si>
    <t>Bidens mosaic virus</t>
  </si>
  <si>
    <t>Blue squill virus A</t>
  </si>
  <si>
    <t>Brugmansia mosaic virus</t>
  </si>
  <si>
    <t>Calla lily latent virus</t>
  </si>
  <si>
    <t>Cyrtanthus elatus virus A</t>
  </si>
  <si>
    <t>Habenaria mosaic virus</t>
  </si>
  <si>
    <t>Keunjorong mosaic virus</t>
  </si>
  <si>
    <t>Lupinus mosaic virus</t>
  </si>
  <si>
    <t>Panax virus Y</t>
  </si>
  <si>
    <t>Tomato necrotic stunt virus</t>
  </si>
  <si>
    <t>Verbena virus Y</t>
  </si>
  <si>
    <t>Zucchini tigre mosaic virus</t>
  </si>
  <si>
    <t>Tall oatgrass mosaic virus</t>
  </si>
  <si>
    <t>Demodema bonariensis entomopoxvirus</t>
  </si>
  <si>
    <t>Figulus sublaevis entomopoxvirus</t>
  </si>
  <si>
    <t>Acrobasis zelleri entomopoxvirus</t>
  </si>
  <si>
    <t>Adoxophyes honmai entomopoxvirus</t>
  </si>
  <si>
    <t>Amsacta moorei entomopoxvirus</t>
  </si>
  <si>
    <t>Arphia conspersa entomopoxvirus</t>
  </si>
  <si>
    <t>Choristoneura biennis entomopoxvirus</t>
  </si>
  <si>
    <t>Choristoneura conflicta entomopoxvirus</t>
  </si>
  <si>
    <t>Choristoneura diversuma entomopoxvirus</t>
  </si>
  <si>
    <t>Choristoneura fumiferana entomopoxvirus</t>
  </si>
  <si>
    <t>Choristoneura rosaceana entomopoxvirus</t>
  </si>
  <si>
    <t>Chorizagrotis auxiliaris entomopoxvirus</t>
  </si>
  <si>
    <t>Heliothis armigera entomopoxvirus</t>
  </si>
  <si>
    <t>Locusta migratoria entomopoxvirus</t>
  </si>
  <si>
    <t>Mythimna separata entomopoxvirus</t>
  </si>
  <si>
    <t>Oedaleus senegalensis entomopoxvirus</t>
  </si>
  <si>
    <t>Operophtera brumata entomopoxvirus</t>
  </si>
  <si>
    <t>Schistocerca gregaria entomopoxvirus</t>
  </si>
  <si>
    <t>Goeldichironomus holoprasinus entomopoxvirus</t>
  </si>
  <si>
    <t>Rotavirus F</t>
  </si>
  <si>
    <t>Rotavirus G</t>
  </si>
  <si>
    <t>Rotavirus H</t>
  </si>
  <si>
    <t>Sphaerolipoviridae</t>
  </si>
  <si>
    <t>Alphasphaerolipovirus</t>
  </si>
  <si>
    <t>Haloarcula hispanica icosahedral virus 2</t>
  </si>
  <si>
    <t>Betasphaerolipovirus</t>
  </si>
  <si>
    <t>Gammasphaerolipovirus</t>
  </si>
  <si>
    <t>Thin paspalum asymptomatic virus</t>
  </si>
  <si>
    <t>Elderberry latent virus</t>
  </si>
  <si>
    <t>Pelargonium chlorotic ring pattern virus</t>
  </si>
  <si>
    <t>Pelargonium ringspot virus</t>
  </si>
  <si>
    <t>Rosa rugosa leaf distortion virus</t>
  </si>
  <si>
    <t>Trailing lespedeza virus 1</t>
  </si>
  <si>
    <t>Tomato mottle mosaic virus</t>
  </si>
  <si>
    <t>Yellow tailflower mild mottle virus</t>
  </si>
  <si>
    <t>Haloarcula hispanica virus PH1</t>
  </si>
  <si>
    <t>Haloarcula hispanica virus SH1</t>
  </si>
  <si>
    <t>Natrinema virus SNJ1</t>
  </si>
  <si>
    <t>dsDNA</t>
  </si>
  <si>
    <t>ssRNA(-)</t>
  </si>
  <si>
    <t>ssRNA(+)</t>
  </si>
  <si>
    <t>ssDNA</t>
  </si>
  <si>
    <t>Viroid</t>
  </si>
  <si>
    <t>dsRNA</t>
  </si>
  <si>
    <t>ssRNA-RT</t>
  </si>
  <si>
    <t>Mosso das Pedras virus</t>
  </si>
  <si>
    <t>Genome Composition</t>
  </si>
  <si>
    <t>Type Species?</t>
  </si>
  <si>
    <t>Taxon History URL</t>
  </si>
  <si>
    <t>Last Change</t>
  </si>
  <si>
    <t>Spiraea yellow leafspot virus</t>
  </si>
  <si>
    <t>Arabidopsis thaliana evelknievel virus</t>
  </si>
  <si>
    <t>Cp220virus</t>
  </si>
  <si>
    <t>Campylobacter virus CP220</t>
  </si>
  <si>
    <t>Campylobacter virus CPt10</t>
  </si>
  <si>
    <t>Campylobacter virus IBB35</t>
  </si>
  <si>
    <t>Cp8virus</t>
  </si>
  <si>
    <t>Campylobacter virus CP81</t>
  </si>
  <si>
    <t>Campylobacter virus CPX</t>
  </si>
  <si>
    <t>Campylobacter virus NCTC12673</t>
  </si>
  <si>
    <t>Hp1virus</t>
  </si>
  <si>
    <t>Aeromonas virus phiO18P</t>
  </si>
  <si>
    <t>Haemophilus virus HP1</t>
  </si>
  <si>
    <t>Haemophilus virus HP2</t>
  </si>
  <si>
    <t>Pasteurella virus F108</t>
  </si>
  <si>
    <t>Vibrio virus K139</t>
  </si>
  <si>
    <t>Vibrio virus Kappa</t>
  </si>
  <si>
    <t>P2virus</t>
  </si>
  <si>
    <t>Burkholderia virus phi52237</t>
  </si>
  <si>
    <t>Burkholderia virus phiE122</t>
  </si>
  <si>
    <t>Burkholderia virus phiE202</t>
  </si>
  <si>
    <t>Escherichia virus 186</t>
  </si>
  <si>
    <t>Escherichia virus P2</t>
  </si>
  <si>
    <t>Escherichia virus Wphi</t>
  </si>
  <si>
    <t>Pseudomonas virus phiCTX</t>
  </si>
  <si>
    <t>Ralstonia virus RSA1</t>
  </si>
  <si>
    <t>Salmonella virus Fels2</t>
  </si>
  <si>
    <t>Salmonella virus PsP3</t>
  </si>
  <si>
    <t>Salmonella virus SopEphi</t>
  </si>
  <si>
    <t>Yersinia virus L413C</t>
  </si>
  <si>
    <t>Kayvirus</t>
  </si>
  <si>
    <t>Staphylococcus virus G1</t>
  </si>
  <si>
    <t>Staphylococcus virus G15</t>
  </si>
  <si>
    <t>Staphylococcus virus JD7</t>
  </si>
  <si>
    <t>Staphylococcus virus K</t>
  </si>
  <si>
    <t>Staphylococcus virus MCE2014</t>
  </si>
  <si>
    <t>Staphylococcus virus P108</t>
  </si>
  <si>
    <t>Staphylococcus virus S253</t>
  </si>
  <si>
    <t>Staphylococcus virus SA12</t>
  </si>
  <si>
    <t>P100virus</t>
  </si>
  <si>
    <t>Listeria virus A511</t>
  </si>
  <si>
    <t>Listeria virus P100</t>
  </si>
  <si>
    <t>Silviavirus</t>
  </si>
  <si>
    <t>Staphylococcus virus Remus</t>
  </si>
  <si>
    <t>Staphylococcus virus SA11</t>
  </si>
  <si>
    <t>Spo1virus</t>
  </si>
  <si>
    <t>Bacillus virus SPO1</t>
  </si>
  <si>
    <t>Twortvirus</t>
  </si>
  <si>
    <t>Staphylococcus virus Twort</t>
  </si>
  <si>
    <t>Enterococcus virus phiEC24C</t>
  </si>
  <si>
    <t>Lactobacillus virus LP65</t>
  </si>
  <si>
    <t>Cc31virus</t>
  </si>
  <si>
    <t>Enterobacter virus PG7</t>
  </si>
  <si>
    <t>Js98virus</t>
  </si>
  <si>
    <t>Escherichia virus Bp7</t>
  </si>
  <si>
    <t>Escherichia virus IME08</t>
  </si>
  <si>
    <t>Escherichia virus JS10</t>
  </si>
  <si>
    <t>Escherichia virus JS98</t>
  </si>
  <si>
    <t>Escherichia virus VR5</t>
  </si>
  <si>
    <t>Rb49virus</t>
  </si>
  <si>
    <t>Escherichia virus phi1</t>
  </si>
  <si>
    <t>Escherichia virus RB49</t>
  </si>
  <si>
    <t>Rb69virus</t>
  </si>
  <si>
    <t>Escherichia virus HX01</t>
  </si>
  <si>
    <t>Escherichia virus JS09</t>
  </si>
  <si>
    <t>Escherichia virus RB69</t>
  </si>
  <si>
    <t>Shigella virus UTAM</t>
  </si>
  <si>
    <t>S16virus</t>
  </si>
  <si>
    <t>Salmonella virus S16</t>
  </si>
  <si>
    <t>Salmonella virus STML198</t>
  </si>
  <si>
    <t>Schizot4virus</t>
  </si>
  <si>
    <t>Vibrio virus KVP40</t>
  </si>
  <si>
    <t>Vibrio virus nt1</t>
  </si>
  <si>
    <t>Vibrio virus ValKK3</t>
  </si>
  <si>
    <t>Sp18virus</t>
  </si>
  <si>
    <t>Escherichia virus VR7</t>
  </si>
  <si>
    <t>Escherichia virus VR20</t>
  </si>
  <si>
    <t>Escherichia virus VR25</t>
  </si>
  <si>
    <t>Escherichia virus VR26</t>
  </si>
  <si>
    <t>Shigella virus SP18</t>
  </si>
  <si>
    <t>T4virus</t>
  </si>
  <si>
    <t>Escherichia virus AR1</t>
  </si>
  <si>
    <t>Escherichia virus C40</t>
  </si>
  <si>
    <t>Escherichia virus E112</t>
  </si>
  <si>
    <t>Escherichia virus ECML134</t>
  </si>
  <si>
    <t>Escherichia virus Ime09</t>
  </si>
  <si>
    <t>Escherichia virus RB3</t>
  </si>
  <si>
    <t>Escherichia virus RB14</t>
  </si>
  <si>
    <t>Escherichia virus T4</t>
  </si>
  <si>
    <t>Shigella virus Pss1</t>
  </si>
  <si>
    <t>Shigella virus Shfl2</t>
  </si>
  <si>
    <t>Yersinia virus D1</t>
  </si>
  <si>
    <t>Yersinia virus PST</t>
  </si>
  <si>
    <t>Acinetobacter virus 133</t>
  </si>
  <si>
    <t>Aeromonas virus 65</t>
  </si>
  <si>
    <t>Aeromonas virus Aeh1</t>
  </si>
  <si>
    <t>Escherichia virus RB16</t>
  </si>
  <si>
    <t>Escherichia virus RB32</t>
  </si>
  <si>
    <t>Escherichia virus RB43</t>
  </si>
  <si>
    <t>Pseudomonas virus 42</t>
  </si>
  <si>
    <t>Vequintavirinae</t>
  </si>
  <si>
    <t>Cr3virus</t>
  </si>
  <si>
    <t>Cronobacter virus CR3</t>
  </si>
  <si>
    <t>Cronobacter virus CR8</t>
  </si>
  <si>
    <t>Cronobacter virus CR9</t>
  </si>
  <si>
    <t>Se1virus</t>
  </si>
  <si>
    <t>Cronobacter virus GAP31</t>
  </si>
  <si>
    <t>Escherichia virus 4MG</t>
  </si>
  <si>
    <t>Salmonella virus SE1</t>
  </si>
  <si>
    <t>Salmonella virus SSE121</t>
  </si>
  <si>
    <t>V5virus</t>
  </si>
  <si>
    <t>Escherichia virus FFH2</t>
  </si>
  <si>
    <t>Escherichia virus FV3</t>
  </si>
  <si>
    <t>Escherichia virus JES2013</t>
  </si>
  <si>
    <t>Escherichia virus V5</t>
  </si>
  <si>
    <t>Agatevirus</t>
  </si>
  <si>
    <t>Bacillus virus Agate</t>
  </si>
  <si>
    <t>Bacillus virus Bobb</t>
  </si>
  <si>
    <t>Bacillus virus Bp8pC</t>
  </si>
  <si>
    <t>Ap22virus</t>
  </si>
  <si>
    <t>Acinetobacter virus AB1</t>
  </si>
  <si>
    <t>Acinetobacter virus AB2</t>
  </si>
  <si>
    <t>Acinetobacter virus AbC62</t>
  </si>
  <si>
    <t>Acinetobacter virus AP22</t>
  </si>
  <si>
    <t>B4virus</t>
  </si>
  <si>
    <t>Bacillus virus B4</t>
  </si>
  <si>
    <t>Bacillus virus Bigbertha</t>
  </si>
  <si>
    <t>Bacillus virus Riley</t>
  </si>
  <si>
    <t>Bacillus virus Spock</t>
  </si>
  <si>
    <t>Bacillus virus Troll</t>
  </si>
  <si>
    <t>Bastillevirus</t>
  </si>
  <si>
    <t>Bacillus virus Bastille</t>
  </si>
  <si>
    <t>Bacillus virus CAM003</t>
  </si>
  <si>
    <t>Bc431virus</t>
  </si>
  <si>
    <t>Bacillus virus Bc431</t>
  </si>
  <si>
    <t>Bacillus virus Bcp1</t>
  </si>
  <si>
    <t>Bacillus virus BCP82</t>
  </si>
  <si>
    <t>Bacillus virus JBP901</t>
  </si>
  <si>
    <t>Bcep78virus</t>
  </si>
  <si>
    <t>Burkholderia virus Bcep1</t>
  </si>
  <si>
    <t>Burkholderia virus Bcep43</t>
  </si>
  <si>
    <t>Burkholderia virus Bcep781</t>
  </si>
  <si>
    <t>Burkholderia virus BcepNY3</t>
  </si>
  <si>
    <t>Xanthomonas virus OP2</t>
  </si>
  <si>
    <t>Bcepmuvirus</t>
  </si>
  <si>
    <t>Burkholderia virus BcepMu</t>
  </si>
  <si>
    <t>Burkholderia virus phiE255</t>
  </si>
  <si>
    <t>Biquartavirus</t>
  </si>
  <si>
    <t>Aeromonas virus 44RR2</t>
  </si>
  <si>
    <t>Bxz1virus</t>
  </si>
  <si>
    <t>Mycobacterium virus I3</t>
  </si>
  <si>
    <t>Cd119virus</t>
  </si>
  <si>
    <t>Clostridium virus phiC2</t>
  </si>
  <si>
    <t>Clostridium virus phiCD27</t>
  </si>
  <si>
    <t>Clostridium virus phiCD119</t>
  </si>
  <si>
    <t>Cp51virus</t>
  </si>
  <si>
    <t>Bacillus virus CP51</t>
  </si>
  <si>
    <t>Bacillus virus JL</t>
  </si>
  <si>
    <t>Bacillus virus Shanette</t>
  </si>
  <si>
    <t>Cvm10virus</t>
  </si>
  <si>
    <t>Escherichia virus CVM10</t>
  </si>
  <si>
    <t>Escherichia virus ep3</t>
  </si>
  <si>
    <t>Felixo1virus</t>
  </si>
  <si>
    <t>Erwinia virus Ea214</t>
  </si>
  <si>
    <t>Escherichia virus AYO145A</t>
  </si>
  <si>
    <t>Escherichia virus EC6</t>
  </si>
  <si>
    <t>Escherichia virus JH2</t>
  </si>
  <si>
    <t>Escherichia virus VpaE1</t>
  </si>
  <si>
    <t>Escherichia virus wV8</t>
  </si>
  <si>
    <t>Salmonella virus FelixO1</t>
  </si>
  <si>
    <t>Salmonella virus HB2014</t>
  </si>
  <si>
    <t>Salmonella virus Mushroom</t>
  </si>
  <si>
    <t>Salmonella virus UAB87</t>
  </si>
  <si>
    <t>Hapunavirus</t>
  </si>
  <si>
    <t>Halomonas virus HAP1</t>
  </si>
  <si>
    <t>Vibrio virus VP882</t>
  </si>
  <si>
    <t>Kpp10virus</t>
  </si>
  <si>
    <t>Pseudomonas virus Ab03</t>
  </si>
  <si>
    <t>Pseudomonas virus KPP10</t>
  </si>
  <si>
    <t>Pseudomonas virus PAKP3</t>
  </si>
  <si>
    <t>Muvirus</t>
  </si>
  <si>
    <t>Escherichia virus Mu</t>
  </si>
  <si>
    <t>Myohalovirus</t>
  </si>
  <si>
    <t>Halobacterium virus phiH</t>
  </si>
  <si>
    <t>Nit1virus</t>
  </si>
  <si>
    <t>Bacillus virus Grass</t>
  </si>
  <si>
    <t>Bacillus virus NIT1</t>
  </si>
  <si>
    <t>Bacillus virus SPG24</t>
  </si>
  <si>
    <t>P1virus</t>
  </si>
  <si>
    <t>Aeromonas virus 43</t>
  </si>
  <si>
    <t>Escherichia virus P1</t>
  </si>
  <si>
    <t>Pakpunavirus</t>
  </si>
  <si>
    <t>Pseudomonas virus CAb1</t>
  </si>
  <si>
    <t>Pseudomonas virus CAb02</t>
  </si>
  <si>
    <t>Pseudomonas virus JG004</t>
  </si>
  <si>
    <t>Pseudomonas virus PAKP1</t>
  </si>
  <si>
    <t>Pseudomonas virus PAKP4</t>
  </si>
  <si>
    <t>Pseudomonas virus PaP1</t>
  </si>
  <si>
    <t>Pbunavirus</t>
  </si>
  <si>
    <t>Burkholderia virus BcepF1</t>
  </si>
  <si>
    <t>Pseudomonas virus 141</t>
  </si>
  <si>
    <t>Pseudomonas virus Ab28</t>
  </si>
  <si>
    <t>Pseudomonas virus DL60</t>
  </si>
  <si>
    <t>Pseudomonas virus DL68</t>
  </si>
  <si>
    <t>Pseudomonas virus F8</t>
  </si>
  <si>
    <t>Pseudomonas virus JG024</t>
  </si>
  <si>
    <t>Pseudomonas virus KPP12</t>
  </si>
  <si>
    <t>Pseudomonas virus LBL3</t>
  </si>
  <si>
    <t>Pseudomonas virus LMA2</t>
  </si>
  <si>
    <t>Pseudomonas virus PB1</t>
  </si>
  <si>
    <t>Pseudomonas virus SN</t>
  </si>
  <si>
    <t>Phikzvirus</t>
  </si>
  <si>
    <t>Pseudomonas virus EL</t>
  </si>
  <si>
    <t>Pseudomonas virus phiKZ</t>
  </si>
  <si>
    <t>Rheph4virus</t>
  </si>
  <si>
    <t>Rhizobium virus RHEph4</t>
  </si>
  <si>
    <t>Secunda5virus</t>
  </si>
  <si>
    <t>Aeromonas virus 25</t>
  </si>
  <si>
    <t>Aeromonas virus 31</t>
  </si>
  <si>
    <t>Aeromonas virus Aes12</t>
  </si>
  <si>
    <t>Aeromonas virus Aes508</t>
  </si>
  <si>
    <t>Aeromonas virus AS4</t>
  </si>
  <si>
    <t>Stenotrophomonas virus IME13</t>
  </si>
  <si>
    <t>Tg1virus</t>
  </si>
  <si>
    <t>Yersinia virus R1RT</t>
  </si>
  <si>
    <t>Yersinia virus TG1</t>
  </si>
  <si>
    <t>Bacillus virus G</t>
  </si>
  <si>
    <t>Bacillus virus PBS1</t>
  </si>
  <si>
    <t>Microcystis virus Ma-LMM01</t>
  </si>
  <si>
    <t>Vhmlvirus</t>
  </si>
  <si>
    <t>Vibrio virus MAR</t>
  </si>
  <si>
    <t>Vibrio virus VHML</t>
  </si>
  <si>
    <t>Vibrio virus VP585</t>
  </si>
  <si>
    <t>Vi1virus</t>
  </si>
  <si>
    <t>Dickeya virus Limestone</t>
  </si>
  <si>
    <t>Escherichia virus CBA120</t>
  </si>
  <si>
    <t>Escherichia virus ECML4</t>
  </si>
  <si>
    <t>Escherichia virus PhaxI</t>
  </si>
  <si>
    <t>Salmonella virus Det7</t>
  </si>
  <si>
    <t>Salmonella virus Marshall</t>
  </si>
  <si>
    <t>Salmonella virus Maynard</t>
  </si>
  <si>
    <t>Salmonella virus SFP10</t>
  </si>
  <si>
    <t>Salmonella virus SH19</t>
  </si>
  <si>
    <t>Salmonella virus SJ2</t>
  </si>
  <si>
    <t>Salmonella virus SJ3</t>
  </si>
  <si>
    <t>Salmonella virus STML131</t>
  </si>
  <si>
    <t>Salmonella virus ViI</t>
  </si>
  <si>
    <t>Shigella virus AG3</t>
  </si>
  <si>
    <t>Wphvirus</t>
  </si>
  <si>
    <t>Bacillus virus WPh</t>
  </si>
  <si>
    <t>Kp34virus</t>
  </si>
  <si>
    <t>Klebsiella virus F19</t>
  </si>
  <si>
    <t>Klebsiella virus K244</t>
  </si>
  <si>
    <t>Klebsiella virus KP34</t>
  </si>
  <si>
    <t>Klebsiella virus SU503</t>
  </si>
  <si>
    <t>Klebsiella virus SU552A</t>
  </si>
  <si>
    <t>Phikmvvirus</t>
  </si>
  <si>
    <t>Pantoea virus Limelight</t>
  </si>
  <si>
    <t>Pantoea virus Limezero</t>
  </si>
  <si>
    <t>Pseudomonas virus LKA1</t>
  </si>
  <si>
    <t>Pseudomonas virus phiKMV</t>
  </si>
  <si>
    <t>Sp6virus</t>
  </si>
  <si>
    <t>Erwinia virus Era103</t>
  </si>
  <si>
    <t>Escherichia virus K5</t>
  </si>
  <si>
    <t>Escherichia virus K1-5</t>
  </si>
  <si>
    <t>Escherichia virus K1E</t>
  </si>
  <si>
    <t>Salmonella virus SP6</t>
  </si>
  <si>
    <t>T7virus</t>
  </si>
  <si>
    <t>Escherichia virus T7</t>
  </si>
  <si>
    <t>Kluyvera virus Kvp1</t>
  </si>
  <si>
    <t>Pseudomonas virus gh1</t>
  </si>
  <si>
    <t>Prochlorococcus virus PSSP7</t>
  </si>
  <si>
    <t>Synechococcus virus P60</t>
  </si>
  <si>
    <t>Synechococcus virus Syn5</t>
  </si>
  <si>
    <t>P68virus</t>
  </si>
  <si>
    <t>Staphylococcus virus 44AHJD</t>
  </si>
  <si>
    <t>Streptococcus virus C1</t>
  </si>
  <si>
    <t>Phi29virus</t>
  </si>
  <si>
    <t>Bacillus virus B103</t>
  </si>
  <si>
    <t>Bacillus virus GA1</t>
  </si>
  <si>
    <t>Bacillus virus phi29</t>
  </si>
  <si>
    <t>Kurthia virus 6</t>
  </si>
  <si>
    <t>Actinomyces virus Av1</t>
  </si>
  <si>
    <t>Mycoplasma virus P1</t>
  </si>
  <si>
    <t>Streptococcus virus Cp1</t>
  </si>
  <si>
    <t>Burkholderia virus Bcep22</t>
  </si>
  <si>
    <t>Burkholderia virus Bcepil02</t>
  </si>
  <si>
    <t>Burkholderia virus Bcepmigl</t>
  </si>
  <si>
    <t>Burkholderia virus DC1</t>
  </si>
  <si>
    <t>Bpp1virus</t>
  </si>
  <si>
    <t>Bordetella virus BPP1</t>
  </si>
  <si>
    <t>Burkholderia virus BcepC6B</t>
  </si>
  <si>
    <t>Cba41virus</t>
  </si>
  <si>
    <t>Cellulophaga virus Cba41</t>
  </si>
  <si>
    <t>Cellulophaga virus Cba172</t>
  </si>
  <si>
    <t>Epsilon15virus</t>
  </si>
  <si>
    <t>Escherichia virus phiV10</t>
  </si>
  <si>
    <t>Salmonella virus Epsilon15</t>
  </si>
  <si>
    <t>F116virus</t>
  </si>
  <si>
    <t>Pseudomonas virus F116</t>
  </si>
  <si>
    <t>Pseudomonas virus H66</t>
  </si>
  <si>
    <t>Ff47virus</t>
  </si>
  <si>
    <t>Mycobacterium virus Ff47</t>
  </si>
  <si>
    <t>Mycobacterium virus Muddy</t>
  </si>
  <si>
    <t>G7cvirus</t>
  </si>
  <si>
    <t>Escherichia virus APEC5</t>
  </si>
  <si>
    <t>Escherichia virus APEC7</t>
  </si>
  <si>
    <t>Escherichia virus Bp4</t>
  </si>
  <si>
    <t>Escherichia virus EC1UPM</t>
  </si>
  <si>
    <t>Escherichia virus ECBP1</t>
  </si>
  <si>
    <t>Escherichia virus G7C</t>
  </si>
  <si>
    <t>Escherichia virus IME11</t>
  </si>
  <si>
    <t>Shigella virus Sb1</t>
  </si>
  <si>
    <t>Lit1virus</t>
  </si>
  <si>
    <t>Pseudomonas virus Ab09</t>
  </si>
  <si>
    <t>Pseudomonas virus LIT1</t>
  </si>
  <si>
    <t>Pseudomonas virus PA26</t>
  </si>
  <si>
    <t>Luz24virus</t>
  </si>
  <si>
    <t>Pseudomonas virus Ab22</t>
  </si>
  <si>
    <t>Pseudomonas virus CHU</t>
  </si>
  <si>
    <t>Pseudomonas virus LUZ24</t>
  </si>
  <si>
    <t>Pseudomonas virus PAA2</t>
  </si>
  <si>
    <t>Pseudomonas virus PaP3</t>
  </si>
  <si>
    <t>Pseudomonas virus PaP4</t>
  </si>
  <si>
    <t>Pseudomonas virus TL</t>
  </si>
  <si>
    <t>N4virus</t>
  </si>
  <si>
    <t>Escherichia virus N4</t>
  </si>
  <si>
    <t>Nonanavirus</t>
  </si>
  <si>
    <t>Salmonella virus 9NA</t>
  </si>
  <si>
    <t>Salmonella virus SP069</t>
  </si>
  <si>
    <t>P22virus</t>
  </si>
  <si>
    <t>Salmonella virus HK620</t>
  </si>
  <si>
    <t>Salmonella virus P22</t>
  </si>
  <si>
    <t>Salmonella virus ST64T</t>
  </si>
  <si>
    <t>Shigella virus Sf6</t>
  </si>
  <si>
    <t>Pagevirus</t>
  </si>
  <si>
    <t>Bacillus virus Page</t>
  </si>
  <si>
    <t>Bacillus virus Palmer</t>
  </si>
  <si>
    <t>Bacillus virus Pascal</t>
  </si>
  <si>
    <t>Bacillus virus Pony</t>
  </si>
  <si>
    <t>Bacillus virus Pookie</t>
  </si>
  <si>
    <t>Phieco32virus</t>
  </si>
  <si>
    <t>Escherichia virus ECB2</t>
  </si>
  <si>
    <t>Escherichia virus NJ01</t>
  </si>
  <si>
    <t>Escherichia virus phiEco32</t>
  </si>
  <si>
    <t>Escherichia virus Septima11</t>
  </si>
  <si>
    <t>Escherichia virus SU10</t>
  </si>
  <si>
    <t>Hamiltonella virus APSE1</t>
  </si>
  <si>
    <t>Lactococcus virus KSY1</t>
  </si>
  <si>
    <t>Phormidium virus WMP3</t>
  </si>
  <si>
    <t>Phormidium virus WMP4</t>
  </si>
  <si>
    <t>Pseudomonas virus 119X</t>
  </si>
  <si>
    <t>Roseobacter virus SIO1</t>
  </si>
  <si>
    <t>Vibrio virus VpV262</t>
  </si>
  <si>
    <t>Vp5virus</t>
  </si>
  <si>
    <t>Vibrio virus VC8</t>
  </si>
  <si>
    <t>Vibrio virus VP2</t>
  </si>
  <si>
    <t>Vibrio virus VP5</t>
  </si>
  <si>
    <t>Guernseyvirinae</t>
  </si>
  <si>
    <t>Jerseyvirus</t>
  </si>
  <si>
    <t>Salmonella virus AG11</t>
  </si>
  <si>
    <t>Salmonella virus Ent1</t>
  </si>
  <si>
    <t>Salmonella virus Jersey</t>
  </si>
  <si>
    <t>Salmonella virus SE2</t>
  </si>
  <si>
    <t>Salmonella virus SETP3</t>
  </si>
  <si>
    <t>Salmonella virus SETP7</t>
  </si>
  <si>
    <t>Salmonella virus SETP13</t>
  </si>
  <si>
    <t>Salmonella virus SP101</t>
  </si>
  <si>
    <t>Salmonella virus SS3e</t>
  </si>
  <si>
    <t>Salmonella virus wksl3</t>
  </si>
  <si>
    <t>K1gvirus</t>
  </si>
  <si>
    <t>Escherichia virus K1G</t>
  </si>
  <si>
    <t>Escherichia virus K1H</t>
  </si>
  <si>
    <t>Escherichia virus K1ind1</t>
  </si>
  <si>
    <t>Escherichia virus K1ind2</t>
  </si>
  <si>
    <t>Sp31virus</t>
  </si>
  <si>
    <t>Salmonella virus SP31</t>
  </si>
  <si>
    <t>Tunavirinae</t>
  </si>
  <si>
    <t>Kp36virus</t>
  </si>
  <si>
    <t>Enterobacter virus F20</t>
  </si>
  <si>
    <t>Klebsiella virus 1513</t>
  </si>
  <si>
    <t>Klebsiella virus KP36</t>
  </si>
  <si>
    <t>Rogue1virus</t>
  </si>
  <si>
    <t>Escherichia virus AHP42</t>
  </si>
  <si>
    <t>Escherichia virus AHS24</t>
  </si>
  <si>
    <t>Escherichia virus AKS96</t>
  </si>
  <si>
    <t>Escherichia virus E41c</t>
  </si>
  <si>
    <t>Escherichia virus Eb49</t>
  </si>
  <si>
    <t>Escherichia virus Jk06</t>
  </si>
  <si>
    <t>Escherichia virus KP26</t>
  </si>
  <si>
    <t>Escherichia virus Rogue1</t>
  </si>
  <si>
    <t>Rtpvirus</t>
  </si>
  <si>
    <t>Escherichia virus ACGM12</t>
  </si>
  <si>
    <t>Escherichia virus Rtp</t>
  </si>
  <si>
    <t>T1virus</t>
  </si>
  <si>
    <t>Escherichia virus ADB2</t>
  </si>
  <si>
    <t>Escherichia virus T1</t>
  </si>
  <si>
    <t>Shigella virus PSf2</t>
  </si>
  <si>
    <t>Shigella virus Shfl1</t>
  </si>
  <si>
    <t>Tlsvirus</t>
  </si>
  <si>
    <t>Citrobacter virus Stevie</t>
  </si>
  <si>
    <t>Escherichia virus TLS</t>
  </si>
  <si>
    <t>Salmonella virus SP126</t>
  </si>
  <si>
    <t>Cronobacter virus Esp2949-1</t>
  </si>
  <si>
    <t>Andromedavirus</t>
  </si>
  <si>
    <t>Bacillus virus Andromeda</t>
  </si>
  <si>
    <t>Bacillus virus Blastoid</t>
  </si>
  <si>
    <t>Bacillus virus Curly</t>
  </si>
  <si>
    <t>Bacillus virus Eoghan</t>
  </si>
  <si>
    <t>Bacillus virus Finn</t>
  </si>
  <si>
    <t>Bacillus virus Glittering</t>
  </si>
  <si>
    <t>Bacillus virus Riggi</t>
  </si>
  <si>
    <t>Bacillus virus Taylor</t>
  </si>
  <si>
    <t>Barnyardvirus</t>
  </si>
  <si>
    <t>Mycobacterium virus Barnyard</t>
  </si>
  <si>
    <t>Mycobacterium virus Konstantine</t>
  </si>
  <si>
    <t>Mycobacterium virus Patience</t>
  </si>
  <si>
    <t>Mycobacterium virus Predator</t>
  </si>
  <si>
    <t>Bignuzvirus</t>
  </si>
  <si>
    <t>Mycobacterium virus Bignuz</t>
  </si>
  <si>
    <t>Mycobacterium virus Jebeks</t>
  </si>
  <si>
    <t>Biseptimavirus</t>
  </si>
  <si>
    <t>Staphylococcus virus 13</t>
  </si>
  <si>
    <t>Staphylococcus virus 77</t>
  </si>
  <si>
    <t>Staphylococcus virus 108PVL</t>
  </si>
  <si>
    <t>Bronvirus</t>
  </si>
  <si>
    <t>Mycobacterium virus Bron</t>
  </si>
  <si>
    <t>Mycobacterium virus Faith1</t>
  </si>
  <si>
    <t>Mycobacterium virus Joedirt</t>
  </si>
  <si>
    <t>Mycobacterium virus Rumpelstiltskin</t>
  </si>
  <si>
    <t>C2virus</t>
  </si>
  <si>
    <t>Lactococcus virus bIL67</t>
  </si>
  <si>
    <t>Lactococcus virus c2</t>
  </si>
  <si>
    <t>C5virus</t>
  </si>
  <si>
    <t>Lactobacillus virus c5</t>
  </si>
  <si>
    <t>Lactobacillus virus LLKu</t>
  </si>
  <si>
    <t>Cba181virus</t>
  </si>
  <si>
    <t>Cellulophaga virus Cba121</t>
  </si>
  <si>
    <t>Cellulophaga virus Cba171</t>
  </si>
  <si>
    <t>Cellulophaga virus Cba181</t>
  </si>
  <si>
    <t>Cbastvirus</t>
  </si>
  <si>
    <t>Cellulophaga virus ST</t>
  </si>
  <si>
    <t>Cecivirus</t>
  </si>
  <si>
    <t>Bacillus virus 250</t>
  </si>
  <si>
    <t>Bacillus virus IEBH</t>
  </si>
  <si>
    <t>Charlievirus</t>
  </si>
  <si>
    <t>Mycobacterium virus Charlie</t>
  </si>
  <si>
    <t>Mycobacterium virus Redi</t>
  </si>
  <si>
    <t>Che8virus</t>
  </si>
  <si>
    <t>Mycobacterium virus Ardmore</t>
  </si>
  <si>
    <t>Mycobacterium virus Avani</t>
  </si>
  <si>
    <t>Mycobacterium virus Boomer</t>
  </si>
  <si>
    <t>Mycobacterium virus Che8</t>
  </si>
  <si>
    <t>Mycobacterium virus Che9d</t>
  </si>
  <si>
    <t>Mycobacterium virus Deadp</t>
  </si>
  <si>
    <t>Mycobacterium virus Dlane</t>
  </si>
  <si>
    <t>Mycobacterium virus Dorothy</t>
  </si>
  <si>
    <t>Mycobacterium virus Dotproduct</t>
  </si>
  <si>
    <t>Mycobacterium virus Drago</t>
  </si>
  <si>
    <t>Mycobacterium virus Fruitloop</t>
  </si>
  <si>
    <t>Mycobacterium virus Gumbie</t>
  </si>
  <si>
    <t>Mycobacterium virus Ibhubesi</t>
  </si>
  <si>
    <t>Mycobacterium virus Llij</t>
  </si>
  <si>
    <t>Mycobacterium virus Mozy</t>
  </si>
  <si>
    <t>Mycobacterium virus Mutaforma13</t>
  </si>
  <si>
    <t>Mycobacterium virus Pacc40</t>
  </si>
  <si>
    <t>Mycobacterium virus PMC</t>
  </si>
  <si>
    <t>Mycobacterium virus Ramsey</t>
  </si>
  <si>
    <t>Mycobacterium virus Rockyhorror</t>
  </si>
  <si>
    <t>Mycobacterium virus SG4</t>
  </si>
  <si>
    <t>Mycobacterium virus Shauna1</t>
  </si>
  <si>
    <t>Mycobacterium virus Shilan</t>
  </si>
  <si>
    <t>Mycobacterium virus Spartacus</t>
  </si>
  <si>
    <t>Mycobacterium virus Taj</t>
  </si>
  <si>
    <t>Mycobacterium virus Tweety</t>
  </si>
  <si>
    <t>Mycobacterium virus Wee</t>
  </si>
  <si>
    <t>Mycobacterium virus Yoshi</t>
  </si>
  <si>
    <t>Che9cvirus</t>
  </si>
  <si>
    <t>Mycobacterium virus Babsiella</t>
  </si>
  <si>
    <t>Mycobacterium virus Brujita</t>
  </si>
  <si>
    <t>Mycobacterium virus Che9c</t>
  </si>
  <si>
    <t>Chivirus</t>
  </si>
  <si>
    <t>Salmonella virus Chi</t>
  </si>
  <si>
    <t>Salmonella virus FSLSP030</t>
  </si>
  <si>
    <t>Salmonella virus FSLSP088</t>
  </si>
  <si>
    <t>Salmonella virus iEPS5</t>
  </si>
  <si>
    <t>Salmonella virus SPN19</t>
  </si>
  <si>
    <t>Cjw1virus</t>
  </si>
  <si>
    <t>Mycobacterium virus 244</t>
  </si>
  <si>
    <t>Mycobacterium virus Bask21</t>
  </si>
  <si>
    <t>Mycobacterium virus CJW1</t>
  </si>
  <si>
    <t>Mycobacterium virus Eureka</t>
  </si>
  <si>
    <t>Mycobacterium virus Kostya</t>
  </si>
  <si>
    <t>Mycobacterium virus Porky</t>
  </si>
  <si>
    <t>Mycobacterium virus Pumpkin</t>
  </si>
  <si>
    <t>Mycobacterium virus Sirduracell</t>
  </si>
  <si>
    <t>Mycobacterium virus Toto</t>
  </si>
  <si>
    <t>Corndogvirus</t>
  </si>
  <si>
    <t>Mycobacterium virus Corndog</t>
  </si>
  <si>
    <t>Mycobacterium virus Firecracker</t>
  </si>
  <si>
    <t>D3112virus</t>
  </si>
  <si>
    <t>Pseudomonas virus D3112</t>
  </si>
  <si>
    <t>Pseudomonas virus DMS3</t>
  </si>
  <si>
    <t>Pseudomonas virus FHA0480</t>
  </si>
  <si>
    <t>Pseudomonas virus LPB1</t>
  </si>
  <si>
    <t>Pseudomonas virus MP22</t>
  </si>
  <si>
    <t>Pseudomonas virus MP29</t>
  </si>
  <si>
    <t>Pseudomonas virus MP38</t>
  </si>
  <si>
    <t>Pseudomonas virus PA1KOR</t>
  </si>
  <si>
    <t>D3virus</t>
  </si>
  <si>
    <t>Pseudomonas virus D3</t>
  </si>
  <si>
    <t>Pseudomonas virus PMG1</t>
  </si>
  <si>
    <t>E125virus</t>
  </si>
  <si>
    <t>Burkholderia virus phi6442</t>
  </si>
  <si>
    <t>Burkholderia virus phi1026b</t>
  </si>
  <si>
    <t>Burkholderia virus phiE125</t>
  </si>
  <si>
    <t>Hk578virus</t>
  </si>
  <si>
    <t>Escherichia virus HK578</t>
  </si>
  <si>
    <t>Escherichia virus JL1</t>
  </si>
  <si>
    <t>Escherichia virus SSL2009a</t>
  </si>
  <si>
    <t>Shigella virus EP23</t>
  </si>
  <si>
    <t>Sodalis virus SO1</t>
  </si>
  <si>
    <t>L5virus</t>
  </si>
  <si>
    <t>Mycobacterium virus Alma</t>
  </si>
  <si>
    <t>Mycobacterium virus Arturo</t>
  </si>
  <si>
    <t>Mycobacterium virus Astro</t>
  </si>
  <si>
    <t>Mycobacterium virus Backyardigan</t>
  </si>
  <si>
    <t>Mycobacterium virus BBPiebs31</t>
  </si>
  <si>
    <t>Mycobacterium virus Benedict</t>
  </si>
  <si>
    <t>Mycobacterium virus Bethlehem</t>
  </si>
  <si>
    <t>Mycobacterium virus Billknuckles</t>
  </si>
  <si>
    <t>Mycobacterium virus Bruns</t>
  </si>
  <si>
    <t>Mycobacterium virus Bxb1</t>
  </si>
  <si>
    <t>Mycobacterium virus Bxz2</t>
  </si>
  <si>
    <t>Mycobacterium virus Che12</t>
  </si>
  <si>
    <t>Mycobacterium virus Cuco</t>
  </si>
  <si>
    <t>Mycobacterium virus D29</t>
  </si>
  <si>
    <t>Mycobacterium virus Doom</t>
  </si>
  <si>
    <t>Mycobacterium virus Ericb</t>
  </si>
  <si>
    <t>Mycobacterium virus Euphoria</t>
  </si>
  <si>
    <t>Mycobacterium virus George</t>
  </si>
  <si>
    <t>Mycobacterium virus Gladiator</t>
  </si>
  <si>
    <t>Mycobacterium virus Goose</t>
  </si>
  <si>
    <t>Mycobacterium virus Hammer</t>
  </si>
  <si>
    <t>Mycobacterium virus Heldan</t>
  </si>
  <si>
    <t>Mycobacterium virus Jasper</t>
  </si>
  <si>
    <t>Mycobacterium virus JC27</t>
  </si>
  <si>
    <t>Mycobacterium virus Jeffabunny</t>
  </si>
  <si>
    <t>Mycobacterium virus JHC117</t>
  </si>
  <si>
    <t>Mycobacterium virus KBG</t>
  </si>
  <si>
    <t>Mycobacterium virus Kssjeb</t>
  </si>
  <si>
    <t>Mycobacterium virus Kugel</t>
  </si>
  <si>
    <t>Mycobacterium virus L5</t>
  </si>
  <si>
    <t>Mycobacterium virus Lesedi</t>
  </si>
  <si>
    <t>Mycobacterium virus LHTSCC</t>
  </si>
  <si>
    <t>Mycobacterium virus lockley</t>
  </si>
  <si>
    <t>Mycobacterium virus Marcell</t>
  </si>
  <si>
    <t>Mycobacterium virus Microwolf</t>
  </si>
  <si>
    <t>Mycobacterium virus Mrgordo</t>
  </si>
  <si>
    <t>Mycobacterium virus Museum</t>
  </si>
  <si>
    <t>Mycobacterium virus Nepal</t>
  </si>
  <si>
    <t>Mycobacterium virus Packman</t>
  </si>
  <si>
    <t>Mycobacterium virus Peaches</t>
  </si>
  <si>
    <t>Mycobacterium virus Perseus</t>
  </si>
  <si>
    <t>Mycobacterium virus Pukovnik</t>
  </si>
  <si>
    <t>Mycobacterium virus Rebeuca</t>
  </si>
  <si>
    <t>Mycobacterium virus Redrock</t>
  </si>
  <si>
    <t>Mycobacterium virus Ridgecb</t>
  </si>
  <si>
    <t>Mycobacterium virus Rockstar</t>
  </si>
  <si>
    <t>Mycobacterium virus Saintus</t>
  </si>
  <si>
    <t>Mycobacterium virus Skipole</t>
  </si>
  <si>
    <t>Mycobacterium virus Solon</t>
  </si>
  <si>
    <t>Mycobacterium virus Switzer</t>
  </si>
  <si>
    <t>Mycobacterium virus SWU1</t>
  </si>
  <si>
    <t>Mycobacterium virus Ta17a</t>
  </si>
  <si>
    <t>Mycobacterium virus Tiger</t>
  </si>
  <si>
    <t>Mycobacterium virus Timshel</t>
  </si>
  <si>
    <t>Mycobacterium virus Trixie</t>
  </si>
  <si>
    <t>Mycobacterium virus Turbido</t>
  </si>
  <si>
    <t>Mycobacterium virus Twister</t>
  </si>
  <si>
    <t>Mycobacterium virus U2</t>
  </si>
  <si>
    <t>Mycobacterium virus Violet</t>
  </si>
  <si>
    <t>Mycobacterium virus Wonder</t>
  </si>
  <si>
    <t>Rhodococcus virus RER2</t>
  </si>
  <si>
    <t>Rhodococcus virus RGL3</t>
  </si>
  <si>
    <t>Lambdavirus</t>
  </si>
  <si>
    <t>Escherichia virus HK022</t>
  </si>
  <si>
    <t>Escherichia virus HK97</t>
  </si>
  <si>
    <t>Escherichia virus Lambda</t>
  </si>
  <si>
    <t>Liefievirus</t>
  </si>
  <si>
    <t>Mycobacterium virus Halo</t>
  </si>
  <si>
    <t>Mycobacterium virus Liefie</t>
  </si>
  <si>
    <t>N15virus</t>
  </si>
  <si>
    <t>Escherichia virus N15</t>
  </si>
  <si>
    <t>Nonagvirus</t>
  </si>
  <si>
    <t>Escherichia virus 9g</t>
  </si>
  <si>
    <t>Escherichia virus JenK1</t>
  </si>
  <si>
    <t>Escherichia virus JenP1</t>
  </si>
  <si>
    <t>Escherichia virus JenP2</t>
  </si>
  <si>
    <t>Omegavirus</t>
  </si>
  <si>
    <t>Mycobacterium virus Baka</t>
  </si>
  <si>
    <t>Mycobacterium virus Courthouse</t>
  </si>
  <si>
    <t>Mycobacterium virus Littlee</t>
  </si>
  <si>
    <t>Mycobacterium virus Omega</t>
  </si>
  <si>
    <t>Mycobacterium virus Optimus</t>
  </si>
  <si>
    <t>Mycobacterium virus Thibault</t>
  </si>
  <si>
    <t>P23virus</t>
  </si>
  <si>
    <t>Thermus virus P23-45</t>
  </si>
  <si>
    <t>Thermus virus P74-26</t>
  </si>
  <si>
    <t>P70virus</t>
  </si>
  <si>
    <t>Listeria virus LP26</t>
  </si>
  <si>
    <t>Listeria virus LP37</t>
  </si>
  <si>
    <t>Listeria virus LP110</t>
  </si>
  <si>
    <t>Listeria virus LP114</t>
  </si>
  <si>
    <t>Listeria virus P70</t>
  </si>
  <si>
    <t>Pbi1virus</t>
  </si>
  <si>
    <t>Mycobacterium virus PBI1</t>
  </si>
  <si>
    <t>Pg1virus</t>
  </si>
  <si>
    <t>Mycobacterium virus Acadian</t>
  </si>
  <si>
    <t>Mycobacterium virus Athena</t>
  </si>
  <si>
    <t>Mycobacterium virus Chrisnmich</t>
  </si>
  <si>
    <t>Mycobacterium virus Cooper</t>
  </si>
  <si>
    <t>Mycobacterium virus Gadjet</t>
  </si>
  <si>
    <t>Mycobacterium virus Nigel</t>
  </si>
  <si>
    <t>Mycobacterium virus Oline</t>
  </si>
  <si>
    <t>Mycobacterium virus Pg1</t>
  </si>
  <si>
    <t>Mycobacterium virus Pipefish</t>
  </si>
  <si>
    <t>Mycobacterium virus Rosebush</t>
  </si>
  <si>
    <t>Mycobacterium virus Stinger</t>
  </si>
  <si>
    <t>Mycobacterium virus Zemanar</t>
  </si>
  <si>
    <t>Phic31virus</t>
  </si>
  <si>
    <t>Streptomyces virus phiBT1</t>
  </si>
  <si>
    <t>Streptomyces virus phiC31</t>
  </si>
  <si>
    <t>Streptomyces virus TG1</t>
  </si>
  <si>
    <t>Phicbkvirus</t>
  </si>
  <si>
    <t>Caulobacter virus Karma</t>
  </si>
  <si>
    <t>Caulobacter virus Magneto</t>
  </si>
  <si>
    <t>Caulobacter virus phiCbK</t>
  </si>
  <si>
    <t>Caulobacter virus Rogue</t>
  </si>
  <si>
    <t>Caulobacter virus Swift</t>
  </si>
  <si>
    <t>Phietavirus</t>
  </si>
  <si>
    <t>Staphylococcus virus 11</t>
  </si>
  <si>
    <t>Staphylococcus virus 29</t>
  </si>
  <si>
    <t>Staphylococcus virus 37</t>
  </si>
  <si>
    <t>Staphylococcus virus 53</t>
  </si>
  <si>
    <t>Staphylococcus virus 55</t>
  </si>
  <si>
    <t>Staphylococcus virus 69</t>
  </si>
  <si>
    <t>Staphylococcus virus 71</t>
  </si>
  <si>
    <t>Staphylococcus virus 80</t>
  </si>
  <si>
    <t>Staphylococcus virus 85</t>
  </si>
  <si>
    <t>Staphylococcus virus 88</t>
  </si>
  <si>
    <t>Staphylococcus virus 92</t>
  </si>
  <si>
    <t>Staphylococcus virus 96</t>
  </si>
  <si>
    <t>Staphylococcus virus 187</t>
  </si>
  <si>
    <t>Staphylococcus virus 52a</t>
  </si>
  <si>
    <t>Staphylococcus virus 80alpha</t>
  </si>
  <si>
    <t>Staphylococcus virus CNPH82</t>
  </si>
  <si>
    <t>Staphylococcus virus EW</t>
  </si>
  <si>
    <t>Staphylococcus virus IPLA5</t>
  </si>
  <si>
    <t>Staphylococcus virus IPLA7</t>
  </si>
  <si>
    <t>Staphylococcus virus IPLA88</t>
  </si>
  <si>
    <t>Staphylococcus virus PH15</t>
  </si>
  <si>
    <t>Staphylococcus virus phiETA</t>
  </si>
  <si>
    <t>Staphylococcus virus phiETA2</t>
  </si>
  <si>
    <t>Staphylococcus virus phiETA3</t>
  </si>
  <si>
    <t>Staphylococcus virus phiMR11</t>
  </si>
  <si>
    <t>Staphylococcus virus phiMR25</t>
  </si>
  <si>
    <t>Staphylococcus virus phiNM1</t>
  </si>
  <si>
    <t>Staphylococcus virus phiNM2</t>
  </si>
  <si>
    <t>Staphylococcus virus phiNM4</t>
  </si>
  <si>
    <t>Staphylococcus virus SAP26</t>
  </si>
  <si>
    <t>Staphylococcus virus X2</t>
  </si>
  <si>
    <t>Phifelvirus</t>
  </si>
  <si>
    <t>Enterococcus virus FL1</t>
  </si>
  <si>
    <t>Enterococcus virus FL2</t>
  </si>
  <si>
    <t>Enterococcus virus FL3</t>
  </si>
  <si>
    <t>Phijl1virus</t>
  </si>
  <si>
    <t>Lactobacillus virus ATCC8014</t>
  </si>
  <si>
    <t>Lactobacillus virus phiJL1</t>
  </si>
  <si>
    <t>Pediococcus virus cIP1</t>
  </si>
  <si>
    <t>Psavirus</t>
  </si>
  <si>
    <t>Listeria virus LP302</t>
  </si>
  <si>
    <t>Listeria virus PSA</t>
  </si>
  <si>
    <t>Psimunavirus</t>
  </si>
  <si>
    <t>Methanobacterium virus psiM1</t>
  </si>
  <si>
    <t>Reyvirus</t>
  </si>
  <si>
    <t>Mycobacterium virus Bongo</t>
  </si>
  <si>
    <t>Mycobacterium virus Rey</t>
  </si>
  <si>
    <t>Sap6virus</t>
  </si>
  <si>
    <t>Enterococcus virus BC611</t>
  </si>
  <si>
    <t>Enterococcus virus IMEEF1</t>
  </si>
  <si>
    <t>Enterococcus virus SAP6</t>
  </si>
  <si>
    <t>Enterococcus virus VD13</t>
  </si>
  <si>
    <t>Streptococcus virus SPQS1</t>
  </si>
  <si>
    <t>Septima3virus</t>
  </si>
  <si>
    <t>Burkholderia virus KL1</t>
  </si>
  <si>
    <t>Pseudomonas virus 73</t>
  </si>
  <si>
    <t>Pseudomonas virus Ab26</t>
  </si>
  <si>
    <t>Pseudomonas virus Kakheti25</t>
  </si>
  <si>
    <t>Seuratvirus</t>
  </si>
  <si>
    <t>Escherichia virus Cajan</t>
  </si>
  <si>
    <t>Escherichia virus Seurat</t>
  </si>
  <si>
    <t>Sextaecvirus</t>
  </si>
  <si>
    <t>Staphylococcus virus SEP9</t>
  </si>
  <si>
    <t>Staphylococcus virus Sextaec</t>
  </si>
  <si>
    <t>Sfi11virus</t>
  </si>
  <si>
    <t>Streptococcus virus 858</t>
  </si>
  <si>
    <t>Streptococcus virus 2972</t>
  </si>
  <si>
    <t>Streptococcus virus ALQ132</t>
  </si>
  <si>
    <t>Streptococcus virus O1205</t>
  </si>
  <si>
    <t>Streptococcus virus Sfi11</t>
  </si>
  <si>
    <t>Sfi21dt1virus</t>
  </si>
  <si>
    <t>Streptococcus virus 7201</t>
  </si>
  <si>
    <t>Streptococcus virus DT1</t>
  </si>
  <si>
    <t>Streptococcus virus phiAbc2</t>
  </si>
  <si>
    <t>Streptococcus virus Sfi19</t>
  </si>
  <si>
    <t>Streptococcus virus Sfi21</t>
  </si>
  <si>
    <t>Sitaravirus</t>
  </si>
  <si>
    <t>Paenibacillus virus Diva</t>
  </si>
  <si>
    <t>Paenibacillus virus Hb10c2</t>
  </si>
  <si>
    <t>Paenibacillus virus Rani</t>
  </si>
  <si>
    <t>Paenibacillus virus Shelly</t>
  </si>
  <si>
    <t>Paenibacillus virus Sitara</t>
  </si>
  <si>
    <t>Sk1virus</t>
  </si>
  <si>
    <t>Lactococcus virus 712</t>
  </si>
  <si>
    <t>Lactococcus virus ASCC191</t>
  </si>
  <si>
    <t>Lactococcus virus ASCC273</t>
  </si>
  <si>
    <t>Lactococcus virus ASCC281</t>
  </si>
  <si>
    <t>Lactococcus virus ASCC465</t>
  </si>
  <si>
    <t>Lactococcus virus ASCC532</t>
  </si>
  <si>
    <t>Lactococcus virus Bibb29</t>
  </si>
  <si>
    <t>Lactococcus virus bIL170</t>
  </si>
  <si>
    <t>Lactococcus virus CB13</t>
  </si>
  <si>
    <t>Lactococcus virus CB14</t>
  </si>
  <si>
    <t>Lactococcus virus CB19</t>
  </si>
  <si>
    <t>Lactococcus virus CB20</t>
  </si>
  <si>
    <t>Lactococcus virus jj50</t>
  </si>
  <si>
    <t>Lactococcus virus P2</t>
  </si>
  <si>
    <t>Lactococcus virus P008</t>
  </si>
  <si>
    <t>Lactococcus virus sk1</t>
  </si>
  <si>
    <t>Lactococcus virus Sl4</t>
  </si>
  <si>
    <t>Slashvirus</t>
  </si>
  <si>
    <t>Bacillus virus Slash</t>
  </si>
  <si>
    <t>Bacillus virus Stahl</t>
  </si>
  <si>
    <t>Bacillus virus Staley</t>
  </si>
  <si>
    <t>Bacillus virus Stills</t>
  </si>
  <si>
    <t>Spbetavirus</t>
  </si>
  <si>
    <t>Bacillus virus SPbeta</t>
  </si>
  <si>
    <t>Ssp2virus</t>
  </si>
  <si>
    <t>Vibrio virus MAR10</t>
  </si>
  <si>
    <t>Vibrio virus SSP002</t>
  </si>
  <si>
    <t>T5virus</t>
  </si>
  <si>
    <t>Escherichia virus AKFV33</t>
  </si>
  <si>
    <t>Escherichia virus BF23</t>
  </si>
  <si>
    <t>Escherichia virus DT57C</t>
  </si>
  <si>
    <t>Escherichia virus EPS7</t>
  </si>
  <si>
    <t>Escherichia virus FFH1</t>
  </si>
  <si>
    <t>Escherichia virus H8</t>
  </si>
  <si>
    <t>Escherichia virus T5</t>
  </si>
  <si>
    <t>Salmonella virus Shivani</t>
  </si>
  <si>
    <t>Salmonella virus SPC35</t>
  </si>
  <si>
    <t>Salmonella virus Stitch</t>
  </si>
  <si>
    <t>Tm4virus</t>
  </si>
  <si>
    <t>Mycobacterium virus Anaya</t>
  </si>
  <si>
    <t>Mycobacterium virus Angelica</t>
  </si>
  <si>
    <t>Mycobacterium virus Crimd</t>
  </si>
  <si>
    <t>Mycobacterium virus Jaws</t>
  </si>
  <si>
    <t>Mycobacterium virus Larva</t>
  </si>
  <si>
    <t>Mycobacterium virus Macncheese</t>
  </si>
  <si>
    <t>Mycobacterium virus Pixie</t>
  </si>
  <si>
    <t>Mycobacterium virus TM4</t>
  </si>
  <si>
    <t>Tp21virus</t>
  </si>
  <si>
    <t>Bacillus virus BMBtp2</t>
  </si>
  <si>
    <t>Bacillus virus TP21</t>
  </si>
  <si>
    <t>Triavirus</t>
  </si>
  <si>
    <t>Staphylococcus virus 47</t>
  </si>
  <si>
    <t>Staphylococcus virus 3a</t>
  </si>
  <si>
    <t>Staphylococcus virus 42e</t>
  </si>
  <si>
    <t>Staphylococcus virus IPLA35</t>
  </si>
  <si>
    <t>Staphylococcus virus phi12</t>
  </si>
  <si>
    <t>Staphylococcus virus phiSLT</t>
  </si>
  <si>
    <t>Wbetavirus</t>
  </si>
  <si>
    <t>Bacillus virus Wbeta</t>
  </si>
  <si>
    <t>Xp10virus</t>
  </si>
  <si>
    <t>Xanthomonas virus CP1</t>
  </si>
  <si>
    <t>Xanthomonas virus OP1</t>
  </si>
  <si>
    <t>Xanthomonas virus phil7</t>
  </si>
  <si>
    <t>Xanthomonas virus Xop411</t>
  </si>
  <si>
    <t>Xanthomonas virus Xp10</t>
  </si>
  <si>
    <t>Yuavirus</t>
  </si>
  <si>
    <t>Alphaproteobacteria virus phiJl001</t>
  </si>
  <si>
    <t>Pseudomonas virus M6</t>
  </si>
  <si>
    <t>Pseudomonas virus Yua</t>
  </si>
  <si>
    <t>Gallid alphaherpesvirus 1</t>
  </si>
  <si>
    <t>Psittacid alphaherpesvirus 1</t>
  </si>
  <si>
    <t>Anatid alphaherpesvirus 1</t>
  </si>
  <si>
    <t>Columbid alphaherpesvirus 1</t>
  </si>
  <si>
    <t>Gallid alphaherpesvirus 2</t>
  </si>
  <si>
    <t>Gallid alphaherpesvirus 3</t>
  </si>
  <si>
    <t>Meleagrid alphaherpesvirus 1</t>
  </si>
  <si>
    <t>Chelonid alphaherpesvirus 5</t>
  </si>
  <si>
    <t>Ateline alphaherpesvirus 1</t>
  </si>
  <si>
    <t>Bovine alphaherpesvirus 2</t>
  </si>
  <si>
    <t>Cercopithecine alphaherpesvirus 2</t>
  </si>
  <si>
    <t>Human alphaherpesvirus 1</t>
  </si>
  <si>
    <t>Human alphaherpesvirus 2</t>
  </si>
  <si>
    <t>Leporid alphaherpesvirus 4</t>
  </si>
  <si>
    <t>Macacine alphaherpesvirus 1</t>
  </si>
  <si>
    <t>Macropodid alphaherpesvirus 1</t>
  </si>
  <si>
    <t>Macropodid alphaherpesvirus 2</t>
  </si>
  <si>
    <t>Panine alphaherpesvirus 3</t>
  </si>
  <si>
    <t>Papiine alphaherpesvirus 2</t>
  </si>
  <si>
    <t>Saimiriine alphaherpesvirus 1</t>
  </si>
  <si>
    <t>Chelonid alphaherpesvirus 6</t>
  </si>
  <si>
    <t>Bovine alphaherpesvirus 1</t>
  </si>
  <si>
    <t>Bovine alphaherpesvirus 5</t>
  </si>
  <si>
    <t>Bubaline alphaherpesvirus 1</t>
  </si>
  <si>
    <t>Canid alphaherpesvirus 1</t>
  </si>
  <si>
    <t>Caprine alphaherpesvirus 1</t>
  </si>
  <si>
    <t>Cercopithecine alphaherpesvirus 9</t>
  </si>
  <si>
    <t>Cervid alphaherpesvirus 1</t>
  </si>
  <si>
    <t>Cervid alphaherpesvirus 2</t>
  </si>
  <si>
    <t>Equid alphaherpesvirus 1</t>
  </si>
  <si>
    <t>Equid alphaherpesvirus 3</t>
  </si>
  <si>
    <t>Equid alphaherpesvirus 4</t>
  </si>
  <si>
    <t>Equid alphaherpesvirus 8</t>
  </si>
  <si>
    <t>Equid alphaherpesvirus 9</t>
  </si>
  <si>
    <t>Felid alphaherpesvirus 1</t>
  </si>
  <si>
    <t>Human alphaherpesvirus 3</t>
  </si>
  <si>
    <t>Phocid alphaherpesvirus 1</t>
  </si>
  <si>
    <t>Suid alphaherpesvirus 1</t>
  </si>
  <si>
    <t>Aotine betaherpesvirus 1</t>
  </si>
  <si>
    <t>Cebine betaherpesvirus 1</t>
  </si>
  <si>
    <t>Cercopithecine betaherpesvirus 5</t>
  </si>
  <si>
    <t>Human betaherpesvirus 5</t>
  </si>
  <si>
    <t>Macacine betaherpesvirus 3</t>
  </si>
  <si>
    <t>Panine betaherpesvirus 2</t>
  </si>
  <si>
    <t>Papiine betaherpesvirus 3</t>
  </si>
  <si>
    <t>Saimiriine betaherpesvirus 4</t>
  </si>
  <si>
    <t>Murid betaherpesvirus 1</t>
  </si>
  <si>
    <t>Murid betaherpesvirus 2</t>
  </si>
  <si>
    <t>Murid betaherpesvirus 8</t>
  </si>
  <si>
    <t>Elephantid betaherpesvirus 1</t>
  </si>
  <si>
    <t>Human betaherpesvirus 7</t>
  </si>
  <si>
    <t>Human betaherpesvirus 6A</t>
  </si>
  <si>
    <t>Human betaherpesvirus 6B</t>
  </si>
  <si>
    <t>Caviid betaherpesvirus 2</t>
  </si>
  <si>
    <t>Suid betaherpesvirus 2</t>
  </si>
  <si>
    <t>Tupaiid betaherpesvirus 1</t>
  </si>
  <si>
    <t>Callitrichine gammaherpesvirus 3</t>
  </si>
  <si>
    <t>Cercopithecine gammaherpesvirus 14</t>
  </si>
  <si>
    <t>Gorilline gammaherpesvirus 1</t>
  </si>
  <si>
    <t>Human gammaherpesvirus 4</t>
  </si>
  <si>
    <t>Macacine gammaherpesvirus 4</t>
  </si>
  <si>
    <t>Panine gammaherpesvirus 1</t>
  </si>
  <si>
    <t>Papiine gammaherpesvirus 1</t>
  </si>
  <si>
    <t>Pongine gammaherpesvirus 2</t>
  </si>
  <si>
    <t>Alcelaphine gammaherpesvirus 1</t>
  </si>
  <si>
    <t>Alcelaphine gammaherpesvirus 2</t>
  </si>
  <si>
    <t>Bovine gammaherpesvirus 6</t>
  </si>
  <si>
    <t>Caprine gammaherpesvirus 2</t>
  </si>
  <si>
    <t>Hippotragine gammaherpesvirus 1</t>
  </si>
  <si>
    <t>Ovine gammaherpesvirus 2</t>
  </si>
  <si>
    <t>Suid gammaherpesvirus 3</t>
  </si>
  <si>
    <t>Suid gammaherpesvirus 4</t>
  </si>
  <si>
    <t>Suid gammaherpesvirus 5</t>
  </si>
  <si>
    <t>Equid gammaherpesvirus 2</t>
  </si>
  <si>
    <t>Equid gammaherpesvirus 5</t>
  </si>
  <si>
    <t>Mustelid gammaherpesvirus 1</t>
  </si>
  <si>
    <t>Ateline gammaherpesvirus 2</t>
  </si>
  <si>
    <t>Ateline gammaherpesvirus 3</t>
  </si>
  <si>
    <t>Bovine gammaherpesvirus 4</t>
  </si>
  <si>
    <t>Cricetid gammaherpesvirus 2</t>
  </si>
  <si>
    <t>Human gammaherpesvirus 8</t>
  </si>
  <si>
    <t>Macacine gammaherpesvirus 5</t>
  </si>
  <si>
    <t>Murid gammaherpesvirus 4</t>
  </si>
  <si>
    <t>Murid gammaherpesvirus 7</t>
  </si>
  <si>
    <t>Saimiriine gammaherpesvirus 2</t>
  </si>
  <si>
    <t>Equid gammaherpesvirus 7</t>
  </si>
  <si>
    <t>Phocid gammaherpesvirus 2</t>
  </si>
  <si>
    <t>Saguinine gammaherpesvirus 1</t>
  </si>
  <si>
    <t>Mymonaviridae</t>
  </si>
  <si>
    <t>Sclerotimonavirus</t>
  </si>
  <si>
    <t>Sclerotinia sclerotimonavirus</t>
  </si>
  <si>
    <t>Socyvirus</t>
  </si>
  <si>
    <t>Soybean cyst nematode socyvirus</t>
  </si>
  <si>
    <t>Cedar henipavirus</t>
  </si>
  <si>
    <t>Ghanaian bat henipavirus</t>
  </si>
  <si>
    <t>Mojiang henipavirus</t>
  </si>
  <si>
    <t>Feline morbillivirus</t>
  </si>
  <si>
    <t>Pneumoviridae</t>
  </si>
  <si>
    <t>Orthopneumovirus</t>
  </si>
  <si>
    <t>Alfalfa dwarf cytorhabdovirus</t>
  </si>
  <si>
    <t>Barley yellow striate mosaic cytorhabdovirus</t>
  </si>
  <si>
    <t>Broccoli necrotic yellows cytorhabdovirus</t>
  </si>
  <si>
    <t>Festuca leaf streak cytorhabdovirus</t>
  </si>
  <si>
    <t>Lettuce necrotic yellows cytorhabdovirus</t>
  </si>
  <si>
    <t>Lettuce yellow mottle cytorhabdovirus</t>
  </si>
  <si>
    <t>Northern cereal mosaic cytorhabdovirus</t>
  </si>
  <si>
    <t>Sonchus cytorhabdovirus 1</t>
  </si>
  <si>
    <t>Strawberry crinkle cytorhabdovirus</t>
  </si>
  <si>
    <t>Wheat American striate mosaic cytorhabdovirus</t>
  </si>
  <si>
    <t>Dichorhavirus</t>
  </si>
  <si>
    <t>Coffee ringspot dichorhavirus</t>
  </si>
  <si>
    <t>Orchid fleck dichorhavirus</t>
  </si>
  <si>
    <t>Adelaide River ephemerovirus</t>
  </si>
  <si>
    <t>Berrimah ephemerovirus</t>
  </si>
  <si>
    <t>Bovine fever ephemerovirus</t>
  </si>
  <si>
    <t>Obodhiang ephemerovirus</t>
  </si>
  <si>
    <t>Aravan lyssavirus</t>
  </si>
  <si>
    <t>Duvenhage lyssavirus</t>
  </si>
  <si>
    <t>European bat 1 lyssavirus</t>
  </si>
  <si>
    <t>European bat 2 lyssavirus</t>
  </si>
  <si>
    <t>Irkut lyssavirus</t>
  </si>
  <si>
    <t>Khujand lyssavirus</t>
  </si>
  <si>
    <t>Lagos bat lyssavirus</t>
  </si>
  <si>
    <t>Mokola lyssavirus</t>
  </si>
  <si>
    <t>Rabies lyssavirus</t>
  </si>
  <si>
    <t>Shimoni bat lyssavirus</t>
  </si>
  <si>
    <t>West Caucasian bat lyssavirus</t>
  </si>
  <si>
    <t>Hirame novirhabdovirus</t>
  </si>
  <si>
    <t>Snakehead novirhabdovirus</t>
  </si>
  <si>
    <t>Datura yellow vein nucleorhabdovirus</t>
  </si>
  <si>
    <t>Eggplant mottled dwarf nucleorhabdovirus</t>
  </si>
  <si>
    <t>Maize fine streak nucleorhabdovirus</t>
  </si>
  <si>
    <t>Maize Iranian mosaic nucleorhabdovirus</t>
  </si>
  <si>
    <t>Maize mosaic nucleorhabdovirus</t>
  </si>
  <si>
    <t>Potato yellow dwarf nucleorhabdovirus</t>
  </si>
  <si>
    <t>Rice yellow stunt nucleorhabdovirus</t>
  </si>
  <si>
    <t>Sonchus yellow net nucleorhabdovirus</t>
  </si>
  <si>
    <t>Sowthistle yellow vein nucleorhabdovirus</t>
  </si>
  <si>
    <t>Taro vein chlorosis nucleorhabdovirus</t>
  </si>
  <si>
    <t>Anguillid perhabdovirus</t>
  </si>
  <si>
    <t>Perch perhabdovirus</t>
  </si>
  <si>
    <t>Sea trout perhabdovirus</t>
  </si>
  <si>
    <t>Carp sprivivirus</t>
  </si>
  <si>
    <t>Pike fry sprivivirus</t>
  </si>
  <si>
    <t>Coastal Plains tibrovirus</t>
  </si>
  <si>
    <t>Tibrogargan tibrovirus</t>
  </si>
  <si>
    <t>Durham tupavirus</t>
  </si>
  <si>
    <t>Tupaia tupavirus</t>
  </si>
  <si>
    <t>Lettuce big-vein associated varicosavirus</t>
  </si>
  <si>
    <t>Alagoas vesiculovirus</t>
  </si>
  <si>
    <t>Carajas vesiculovirus</t>
  </si>
  <si>
    <t>Chandipura vesiculovirus</t>
  </si>
  <si>
    <t>Cocal vesiculovirus</t>
  </si>
  <si>
    <t>Indiana vesiculovirus</t>
  </si>
  <si>
    <t>Isfahan vesiculovirus</t>
  </si>
  <si>
    <t>Maraba vesiculovirus</t>
  </si>
  <si>
    <t>New Jersey vesiculovirus</t>
  </si>
  <si>
    <t>Piry vesiculovirus</t>
  </si>
  <si>
    <t>Sunviridae</t>
  </si>
  <si>
    <t>Sunshinevirus</t>
  </si>
  <si>
    <t>Reptile sunshinevirus 1</t>
  </si>
  <si>
    <t>Anphevirus</t>
  </si>
  <si>
    <t>Xincheng anphevirus</t>
  </si>
  <si>
    <t>Arlivirus</t>
  </si>
  <si>
    <t>Lishi arlivirus</t>
  </si>
  <si>
    <t>Chengtivirus</t>
  </si>
  <si>
    <t>Tacheng chengtivirus</t>
  </si>
  <si>
    <t>Crustavirus</t>
  </si>
  <si>
    <t>Wenzhou crustavirus</t>
  </si>
  <si>
    <t>Wastrivirus</t>
  </si>
  <si>
    <t>Sanxia wastrivirus</t>
  </si>
  <si>
    <t>Kibale red colobus virus 1</t>
  </si>
  <si>
    <t>Kibale red colobus virus 2</t>
  </si>
  <si>
    <t>Kibale red-tailed guenon virus 1</t>
  </si>
  <si>
    <t>Mikumi yellow baboon virus 1</t>
  </si>
  <si>
    <t>Pebjah virus</t>
  </si>
  <si>
    <t>Porcine reproductive and respiratory syndrome virus 1</t>
  </si>
  <si>
    <t>Porcine reproductive and respiratory syndrome virus 2</t>
  </si>
  <si>
    <t>Simian hemorrhagic encephalitis virus</t>
  </si>
  <si>
    <t>Wobbly possum disease virus</t>
  </si>
  <si>
    <t>Bat coronavirus CDPHE15</t>
  </si>
  <si>
    <t>Bat coronavirus HKU10</t>
  </si>
  <si>
    <t>Mink coronavirus 1</t>
  </si>
  <si>
    <t>Hedgehog coronavirus 1</t>
  </si>
  <si>
    <t>Middle East respiratory syndrome-related coronavirus</t>
  </si>
  <si>
    <t>Common moorhen coronavirus HKU21</t>
  </si>
  <si>
    <t>Coronavirus HKU15</t>
  </si>
  <si>
    <t>Night heron coronavirus HKU19</t>
  </si>
  <si>
    <t>White-eye coronavirus HKU16</t>
  </si>
  <si>
    <t>Wigeon coronavirus HKU20</t>
  </si>
  <si>
    <t>Fathead minnow nidovirus 1</t>
  </si>
  <si>
    <t>Ball python nidovirus 1</t>
  </si>
  <si>
    <t>Alphamesonivirus 2</t>
  </si>
  <si>
    <t>Alphamesonivirus 3</t>
  </si>
  <si>
    <t>Alphamesonivirus 4</t>
  </si>
  <si>
    <t>Alphamesonivirus 5</t>
  </si>
  <si>
    <t>Mesonivirus 1</t>
  </si>
  <si>
    <t>Mesonivirus 2</t>
  </si>
  <si>
    <t>Triatovirus</t>
  </si>
  <si>
    <t>Antheraea pernyi iflavirus</t>
  </si>
  <si>
    <t>Dinocampus coccinellae paralysis virus</t>
  </si>
  <si>
    <t>Lymantria dispar iflavirus 1</t>
  </si>
  <si>
    <t>Spodoptera exigua iflavirus 1</t>
  </si>
  <si>
    <t>Spodoptera exigua iflavirus 2</t>
  </si>
  <si>
    <t>Limnipivirus</t>
  </si>
  <si>
    <t>Limnipivirus A</t>
  </si>
  <si>
    <t>Limnipivirus B</t>
  </si>
  <si>
    <t>Limnipivirus C</t>
  </si>
  <si>
    <t>Potamipivirus</t>
  </si>
  <si>
    <t>Potamipivirus A</t>
  </si>
  <si>
    <t>Aeonium ringspot virus</t>
  </si>
  <si>
    <t>Mulberry mosaic leaf roll associated virus</t>
  </si>
  <si>
    <t>Carrot torradovirus 1</t>
  </si>
  <si>
    <t>Motherwort yellow mottle virus</t>
  </si>
  <si>
    <t>Platypuvirus</t>
  </si>
  <si>
    <t>Donkey orchid symptomless virus</t>
  </si>
  <si>
    <t>Yam virus X</t>
  </si>
  <si>
    <t>Quinvirinae</t>
  </si>
  <si>
    <t>Gaillardia latent virus</t>
  </si>
  <si>
    <t>Potato virus H</t>
  </si>
  <si>
    <t>Robigovirus</t>
  </si>
  <si>
    <t>Cherry rusty mottle associated virus</t>
  </si>
  <si>
    <t>Cherry twisted leaf associated virus</t>
  </si>
  <si>
    <t>Trivirinae</t>
  </si>
  <si>
    <t>Chordovirus</t>
  </si>
  <si>
    <t>Carrot Ch virus 1</t>
  </si>
  <si>
    <t>Carrot Ch virus 2</t>
  </si>
  <si>
    <t>Divavirus</t>
  </si>
  <si>
    <t>Prunevirus</t>
  </si>
  <si>
    <t>Apricot vein clearing associated virus</t>
  </si>
  <si>
    <t>Caucasus prunus virus</t>
  </si>
  <si>
    <t>Prunus virus T</t>
  </si>
  <si>
    <t>Duck aviadenovirus B</t>
  </si>
  <si>
    <t>Pigeon aviadenovirus A</t>
  </si>
  <si>
    <t>Turkey aviadenovirus C</t>
  </si>
  <si>
    <t>Turkey aviadenovirus D</t>
  </si>
  <si>
    <t>Simian mastadenovirus B</t>
  </si>
  <si>
    <t>Simian mastadenovirus C</t>
  </si>
  <si>
    <t>ssDNA(-)</t>
  </si>
  <si>
    <t>Torque teno sus virus k2a</t>
  </si>
  <si>
    <t>Torque teno sus virus k2b</t>
  </si>
  <si>
    <t>ssRNA(+/-)</t>
  </si>
  <si>
    <t>Gairo mammarenavirus</t>
  </si>
  <si>
    <t>Mariental mammarenavirus</t>
  </si>
  <si>
    <t>Okahandja mammarenavirus</t>
  </si>
  <si>
    <t>Wenzhou mammarenavirus</t>
  </si>
  <si>
    <t>Toursvirus</t>
  </si>
  <si>
    <t>Agrotis segetum nucleopolyhedrovirus A</t>
  </si>
  <si>
    <t>Agrotis segetum nucleopolyhedrovirus B</t>
  </si>
  <si>
    <t>Chrysodeixis includens nucleopolyhedrovirus</t>
  </si>
  <si>
    <t>Sucra jujuba nucleopolyhedrovirus</t>
  </si>
  <si>
    <t>Agrotis segetum granulovirus</t>
  </si>
  <si>
    <t>Erinnyis ello granulovirus</t>
  </si>
  <si>
    <t>Spodoptera frugiperda granulovirus</t>
  </si>
  <si>
    <t>Acara orthobunyavirus</t>
  </si>
  <si>
    <t>Akabane orthobunyavirus</t>
  </si>
  <si>
    <t>Alajuela orthobunyavirus</t>
  </si>
  <si>
    <t>Anopheles A orthobunyavirus</t>
  </si>
  <si>
    <t>Anopheles B orthobunyavirus</t>
  </si>
  <si>
    <t>Bakau orthobunyavirus</t>
  </si>
  <si>
    <t>Batama orthobunyavirus</t>
  </si>
  <si>
    <t>Benevides orthobunyavirus</t>
  </si>
  <si>
    <t>Bertioga orthobunyavirus</t>
  </si>
  <si>
    <t>Bimiti orthobunyavirus</t>
  </si>
  <si>
    <t>Botambi orthobunyavirus</t>
  </si>
  <si>
    <t>Bunyamwera orthobunyavirus</t>
  </si>
  <si>
    <t>Bushbush orthobunyavirus</t>
  </si>
  <si>
    <t>Bwamba orthobunyavirus</t>
  </si>
  <si>
    <t>California encephalitis orthobunyavirus</t>
  </si>
  <si>
    <t>Capim orthobunyavirus</t>
  </si>
  <si>
    <t>Caraparu orthobunyavirus</t>
  </si>
  <si>
    <t>Catu orthobunyavirus</t>
  </si>
  <si>
    <t>Estero Real orthobunyavirus</t>
  </si>
  <si>
    <t>Gamboa orthobunyavirus</t>
  </si>
  <si>
    <t>Guajara orthobunyavirus</t>
  </si>
  <si>
    <t>Guama orthobunyavirus</t>
  </si>
  <si>
    <t>Guaroa orthobunyavirus</t>
  </si>
  <si>
    <t>Kaeng Khoi orthobunyavirus</t>
  </si>
  <si>
    <t>Kairi orthobunyavirus</t>
  </si>
  <si>
    <t>Koongol orthobunyavirus</t>
  </si>
  <si>
    <t>Madrid orthobunyavirus</t>
  </si>
  <si>
    <t>Main Drain orthobunyavirus</t>
  </si>
  <si>
    <t>Manzanilla orthobunyavirus</t>
  </si>
  <si>
    <t>Marituba orthobunyavirus</t>
  </si>
  <si>
    <t>Minatitlan orthobunyavirus</t>
  </si>
  <si>
    <t>MPoko orthobunyavirus</t>
  </si>
  <si>
    <t>Nyando orthobunyavirus</t>
  </si>
  <si>
    <t>Olifantsvlei orthobunyavirus</t>
  </si>
  <si>
    <t>Oriboca orthobunyavirus</t>
  </si>
  <si>
    <t>Oropouche orthobunyavirus</t>
  </si>
  <si>
    <t>Patois orthobunyavirus</t>
  </si>
  <si>
    <t>Sathuperi orthobunyavirus</t>
  </si>
  <si>
    <t>Shamonda orthobunyavirus</t>
  </si>
  <si>
    <t>Shuni orthobunyavirus</t>
  </si>
  <si>
    <t>Simbu orthobunyavirus</t>
  </si>
  <si>
    <t>Tacaiuma orthobunyavirus</t>
  </si>
  <si>
    <t>Tete orthobunyavirus</t>
  </si>
  <si>
    <t>Thimiri orthobunyavirus</t>
  </si>
  <si>
    <t>Timboteua orthobunyavirus</t>
  </si>
  <si>
    <t>Turlock orthobunyavirus</t>
  </si>
  <si>
    <t>Wyeomyia orthobunyavirus</t>
  </si>
  <si>
    <t>Zegla orthobunyavirus</t>
  </si>
  <si>
    <t>Bujaru phlebovirus</t>
  </si>
  <si>
    <t>Candiru phlebovirus</t>
  </si>
  <si>
    <t>Chilibre phlebovirus</t>
  </si>
  <si>
    <t>Frijoles phlebovirus</t>
  </si>
  <si>
    <t>Punta Toro phlebovirus</t>
  </si>
  <si>
    <t>Rift Valley fever phlebovirus</t>
  </si>
  <si>
    <t>Salehabad phlebovirus</t>
  </si>
  <si>
    <t>Sandfly fever Naples phlebovirus</t>
  </si>
  <si>
    <t>SFTS phlebovirus</t>
  </si>
  <si>
    <t>Uukuniemi phlebovirus</t>
  </si>
  <si>
    <t>dsDNA-RT</t>
  </si>
  <si>
    <t>Cacao swollen shoot CD virus</t>
  </si>
  <si>
    <t>Cacao swollen shoot Togo A virus</t>
  </si>
  <si>
    <t>Grapevine Roditis leaf discoloration-associated virus</t>
  </si>
  <si>
    <t>Sugarcane bacilliform Guadeloupe A virus</t>
  </si>
  <si>
    <t>Sugarcane bacilliform Guadeloupe D virus</t>
  </si>
  <si>
    <t>Barbel circovirus</t>
  </si>
  <si>
    <t>ssDNA(+/-)</t>
  </si>
  <si>
    <t>Canine circovirus</t>
  </si>
  <si>
    <t>European catfish circovirus</t>
  </si>
  <si>
    <t>Mink circovirus</t>
  </si>
  <si>
    <t>Porcine circovirus 1</t>
  </si>
  <si>
    <t>Porcine circovirus 2</t>
  </si>
  <si>
    <t>Raven circovirus</t>
  </si>
  <si>
    <t>Zebra finch circovirus</t>
  </si>
  <si>
    <t>Cyclovirus</t>
  </si>
  <si>
    <t>Blackberry vein banding-associated virus</t>
  </si>
  <si>
    <t>Blueberry virus A</t>
  </si>
  <si>
    <t>Cordyline virus 2</t>
  </si>
  <si>
    <t>Cordyline virus 3</t>
  </si>
  <si>
    <t>Cordyline virus 4</t>
  </si>
  <si>
    <t>Pseudoalteromonas virus PM2</t>
  </si>
  <si>
    <t>Pseudomonas virus phi6</t>
  </si>
  <si>
    <t>Abutilon golden mosaic virus</t>
  </si>
  <si>
    <t>Capraria yellow spot virus</t>
  </si>
  <si>
    <t>Cassava mosaic Madagascar virus</t>
  </si>
  <si>
    <t>Catharanthus yellow mosaic virus</t>
  </si>
  <si>
    <t>Chenopodium leaf curl virus</t>
  </si>
  <si>
    <t>Chilli leaf curl India virus</t>
  </si>
  <si>
    <t>Chilli leaf curl Kanpur virus</t>
  </si>
  <si>
    <t>Chilli leaf curl Vellanad virus</t>
  </si>
  <si>
    <t>Clerodendron yellow mosaic virus</t>
  </si>
  <si>
    <t>Clerodendrum golden mosaic China virus</t>
  </si>
  <si>
    <t>Clerodendrum golden mosaic Jiangsu virus</t>
  </si>
  <si>
    <t>Corchorus yellow vein mosaic virus</t>
  </si>
  <si>
    <t>Cotton chlorotic spot virus</t>
  </si>
  <si>
    <t>Crassocephalum yellow vein virus</t>
  </si>
  <si>
    <t>Emilia yellow vein virus</t>
  </si>
  <si>
    <t>French bean leaf curl virus</t>
  </si>
  <si>
    <t>Hedyotis uncinella yellow mosaic virus</t>
  </si>
  <si>
    <t>Hemidesmus yellow mosaic virus</t>
  </si>
  <si>
    <t>Jatropha leaf curl virus</t>
  </si>
  <si>
    <t>Jatropha mosaic Nigeria virus</t>
  </si>
  <si>
    <t>Jatropha mosaic virus</t>
  </si>
  <si>
    <t>Jatropha yellow mosaic virus</t>
  </si>
  <si>
    <t>Malvastrum leaf curl Philippines virus</t>
  </si>
  <si>
    <t>Mesta yellow vein mosaic Bahraich virus</t>
  </si>
  <si>
    <t>Pepper yellow leaf curl virus</t>
  </si>
  <si>
    <t>Pouzolzia golden mosaic virus</t>
  </si>
  <si>
    <t>Pouzolzia mosaic Guangdong virus</t>
  </si>
  <si>
    <t>Premna leaf curl virus</t>
  </si>
  <si>
    <t>Rhynchosia yellow mosaic India virus</t>
  </si>
  <si>
    <t>Sauropus leaf curl virus</t>
  </si>
  <si>
    <t>Sida ciliaris golden mosaic virus</t>
  </si>
  <si>
    <t>Sida common mosaic virus</t>
  </si>
  <si>
    <t>Sida golden mosaic Brazil virus</t>
  </si>
  <si>
    <t>Sida golden mosaic Lara virus</t>
  </si>
  <si>
    <t>Sida yellow leaf curl virus</t>
  </si>
  <si>
    <t>Sidastrum golden leaf spot virus</t>
  </si>
  <si>
    <t>Soybean chlorotic blotch virus</t>
  </si>
  <si>
    <t>Spinach yellow vein virus</t>
  </si>
  <si>
    <t>Sunn hemp leaf distortion virus</t>
  </si>
  <si>
    <t>Sweet potato leaf curl Henan virus</t>
  </si>
  <si>
    <t>Sweet potato leaf curl Sichuan virus 1</t>
  </si>
  <si>
    <t>Sweet potato leaf curl Sichuan virus 2</t>
  </si>
  <si>
    <t>Tobacco leaf curl Comoros virus</t>
  </si>
  <si>
    <t>Tomato bright yellow mosaic virus</t>
  </si>
  <si>
    <t>Tomato bright yellow mottle virus</t>
  </si>
  <si>
    <t>Tomato golden leaf distortion virus</t>
  </si>
  <si>
    <t>Tomato interveinal chlorosis virus</t>
  </si>
  <si>
    <t>Tomato leaf curl Liwa virus</t>
  </si>
  <si>
    <t>Tomato leaf curl New Delhi virus 2</t>
  </si>
  <si>
    <t>Tomato leaf curl New Delhi virus 4</t>
  </si>
  <si>
    <t>Tomato leaf curl Palampur virus</t>
  </si>
  <si>
    <t>Tomato leaf curl Patna virus</t>
  </si>
  <si>
    <t>Tomato leaf curl Rajasthan virus</t>
  </si>
  <si>
    <t>Tomato leaf curl Sulawesi virus</t>
  </si>
  <si>
    <t>Velvet bean severe mosaic virus</t>
  </si>
  <si>
    <t>Vigna yellow mosaic virus</t>
  </si>
  <si>
    <t>Axonopus compressus streak virus</t>
  </si>
  <si>
    <t>Sugarcane white streak virus</t>
  </si>
  <si>
    <t>Switchgrass mosaic-associated virus</t>
  </si>
  <si>
    <t>Genomoviridae</t>
  </si>
  <si>
    <t>Gemycircularvirus</t>
  </si>
  <si>
    <t>Sclerotinia gemycircularvirus 1</t>
  </si>
  <si>
    <t>Long-fingered bat hepatitis B virus</t>
  </si>
  <si>
    <t>Roundleaf bat hepatitis B virus</t>
  </si>
  <si>
    <t>Tent-making bat hepatitis B virus</t>
  </si>
  <si>
    <t>ssDNA(+)</t>
  </si>
  <si>
    <t>Escherichia virus I22</t>
  </si>
  <si>
    <t>Escherichia virus If1</t>
  </si>
  <si>
    <t>Escherichia virus M13</t>
  </si>
  <si>
    <t>Pseudomonas virus Pf1</t>
  </si>
  <si>
    <t>Pseudomonas virus Pf3</t>
  </si>
  <si>
    <t>Salmonella virus IKe</t>
  </si>
  <si>
    <t>Vibrio virus CTXphi</t>
  </si>
  <si>
    <t>Vibrio virus fs1</t>
  </si>
  <si>
    <t>Vibrio virus fs2</t>
  </si>
  <si>
    <t>Vibrio virus Vf33</t>
  </si>
  <si>
    <t>Xanthomonas virus Cf1c</t>
  </si>
  <si>
    <t>Spiroplasma virus C74</t>
  </si>
  <si>
    <t>Spiroplasma virus R8A2B</t>
  </si>
  <si>
    <t>Lavidaviridae</t>
  </si>
  <si>
    <t>Mavirus</t>
  </si>
  <si>
    <t>Cafeteriavirus-dependent mavirus</t>
  </si>
  <si>
    <t>Sputnikvirus</t>
  </si>
  <si>
    <t>Mimivirus-dependent virus Sputnik</t>
  </si>
  <si>
    <t>Mimivirus-dependent virus Zamilon</t>
  </si>
  <si>
    <t>Escherichia virus FI</t>
  </si>
  <si>
    <t>Escherichia virus Qbeta</t>
  </si>
  <si>
    <t>Escherichia virus BZ13</t>
  </si>
  <si>
    <t>Escherichia virus MS2</t>
  </si>
  <si>
    <t>Bullavirinae</t>
  </si>
  <si>
    <t>Alpha3microvirus</t>
  </si>
  <si>
    <t>Escherichia virus alpha3</t>
  </si>
  <si>
    <t>Escherichia virus ID21</t>
  </si>
  <si>
    <t>Escherichia virus ID32</t>
  </si>
  <si>
    <t>Escherichia virus ID62</t>
  </si>
  <si>
    <t>Escherichia virus NC28</t>
  </si>
  <si>
    <t>Escherichia virus NC29</t>
  </si>
  <si>
    <t>Escherichia virus NC35</t>
  </si>
  <si>
    <t>Escherichia virus phiK</t>
  </si>
  <si>
    <t>Escherichia virus St1</t>
  </si>
  <si>
    <t>Escherichia virus WA45</t>
  </si>
  <si>
    <t>G4microvirus</t>
  </si>
  <si>
    <t>Escherichia virus G4</t>
  </si>
  <si>
    <t>Escherichia virus ID52</t>
  </si>
  <si>
    <t>Escherichia virus Talmos</t>
  </si>
  <si>
    <t>Phix174microvirus</t>
  </si>
  <si>
    <t>Escherichia virus phiX174</t>
  </si>
  <si>
    <t>Bdellovibrio virus MAC1</t>
  </si>
  <si>
    <t>Bdellovibrio virus MH2K</t>
  </si>
  <si>
    <t>Chlamydia virus Chp1</t>
  </si>
  <si>
    <t>Chlamydia virus Chp2</t>
  </si>
  <si>
    <t>Chlamydia virus CPAR39</t>
  </si>
  <si>
    <t>Chlamydia virus CPG1</t>
  </si>
  <si>
    <t>Spiroplasma virus SpV4</t>
  </si>
  <si>
    <t>Black medic leaf roll virus</t>
  </si>
  <si>
    <t>Pea yellow stunt virus</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</si>
  <si>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</si>
  <si>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</si>
  <si>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</si>
  <si>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</si>
  <si>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</si>
  <si>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</si>
  <si>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</si>
  <si>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</si>
  <si>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</si>
  <si>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</si>
  <si>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</si>
  <si>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</si>
  <si>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</si>
  <si>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</si>
  <si>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</si>
  <si>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</si>
  <si>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</si>
  <si>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</si>
  <si>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</si>
  <si>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</si>
  <si>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</si>
  <si>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</si>
  <si>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</si>
  <si>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</si>
  <si>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</si>
  <si>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</si>
  <si>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</si>
  <si>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</si>
  <si>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</si>
  <si>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</si>
  <si>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Heterobasidion partitivirus 12</t>
  </si>
  <si>
    <t>Heterobasidion partitivirus 13</t>
  </si>
  <si>
    <t>Heterobasidion partitivirus 15</t>
  </si>
  <si>
    <t>Heterobasidion partitivirus 7</t>
  </si>
  <si>
    <t>Acholeplasma virus L2</t>
  </si>
  <si>
    <t>Pleolipoviridae</t>
  </si>
  <si>
    <t>Alphapleolipovirus</t>
  </si>
  <si>
    <t>Betapleolipovirus</t>
  </si>
  <si>
    <t>Gammapleolipovirus</t>
  </si>
  <si>
    <t>Haloarcula virus His2</t>
  </si>
  <si>
    <t>Alphapolyomavirus</t>
  </si>
  <si>
    <t>Acerodon celebensis polyomavirus 1</t>
  </si>
  <si>
    <t>Artibeus planirostris polyomavirus 2</t>
  </si>
  <si>
    <t>Artibeus planirostris polyomavirus 3</t>
  </si>
  <si>
    <t>Ateles paniscus polyomavirus 1</t>
  </si>
  <si>
    <t>Cardioderma cor polyomavirus 1</t>
  </si>
  <si>
    <t>Carollia perspicillata polyomavirus 1</t>
  </si>
  <si>
    <t>Chlorocebus pygerythrus polyomavirus 1</t>
  </si>
  <si>
    <t>Chlorocebus pygerythrus polyomavirus 3</t>
  </si>
  <si>
    <t>Dobsonia moluccensis polyomavirus 1</t>
  </si>
  <si>
    <t>Eidolon helvum polyomavirus 1</t>
  </si>
  <si>
    <t>Gorilla gorilla polyomavirus 1</t>
  </si>
  <si>
    <t>Human polyomavirus 5</t>
  </si>
  <si>
    <t>Human polyomavirus 8</t>
  </si>
  <si>
    <t>Human polyomavirus 9</t>
  </si>
  <si>
    <t>Human polyomavirus 12</t>
  </si>
  <si>
    <t>Human polyomavirus 13</t>
  </si>
  <si>
    <t>Macaca fascicularis polyomavirus 1</t>
  </si>
  <si>
    <t>Mesocricetus auratus polyomavirus 1</t>
  </si>
  <si>
    <t>Molossus molossus polyomavirus 1</t>
  </si>
  <si>
    <t>Mus musculus polyomavirus 1</t>
  </si>
  <si>
    <t>Otomops martiensseni polyomavirus 1</t>
  </si>
  <si>
    <t>Otomops martiensseni polyomavirus 2</t>
  </si>
  <si>
    <t>Pan troglodytes polyomavirus 1</t>
  </si>
  <si>
    <t>Pan troglodytes polyomavirus 2</t>
  </si>
  <si>
    <t>Pan troglodytes polyomavirus 3</t>
  </si>
  <si>
    <t>Pan troglodytes polyomavirus 4</t>
  </si>
  <si>
    <t>Pan troglodytes polyomavirus 5</t>
  </si>
  <si>
    <t>Pan troglodytes polyomavirus 6</t>
  </si>
  <si>
    <t>Pan troglodytes polyomavirus 7</t>
  </si>
  <si>
    <t>Papio cynocephalus polyomavirus 1</t>
  </si>
  <si>
    <t>Piliocolobus rufomitratus polyomavirus 1</t>
  </si>
  <si>
    <t>Pongo abelii polyomavirus 1</t>
  </si>
  <si>
    <t>Pongo pygmaeus polyomavirus 1</t>
  </si>
  <si>
    <t>Procyon lotor polyomavirus 1</t>
  </si>
  <si>
    <t>Pteropus vampyrus polyomavirus 1</t>
  </si>
  <si>
    <t>Sturnira lilium polyomavirus 1</t>
  </si>
  <si>
    <t>Betapolyomavirus</t>
  </si>
  <si>
    <t>Acerodon celebensis polyomavirus 2</t>
  </si>
  <si>
    <t>Artibeus planirostris polyomavirus 1</t>
  </si>
  <si>
    <t>Cebus albifrons polyomavirus 1</t>
  </si>
  <si>
    <t>Cercopithecus erythrotis polyomavirus 1</t>
  </si>
  <si>
    <t>Chlorocebus pygerythrus polyomavirus 2</t>
  </si>
  <si>
    <t>Desmodus rotundus polyomavirus 1</t>
  </si>
  <si>
    <t>Dobsonia moluccensis polyomavirus 2</t>
  </si>
  <si>
    <t>Dobsonia moluccensis polyomavirus 3</t>
  </si>
  <si>
    <t>Equus caballus polyomavirus 1</t>
  </si>
  <si>
    <t>Human polyomavirus 1</t>
  </si>
  <si>
    <t>Human polyomavirus 2</t>
  </si>
  <si>
    <t>Human polyomavirus 3</t>
  </si>
  <si>
    <t>Human polyomavirus 4</t>
  </si>
  <si>
    <t>Loxodonta africana polyomavirus 1</t>
  </si>
  <si>
    <t>Macaca mulatta polyomavirus 1</t>
  </si>
  <si>
    <t>Mastomys natalensis polyomavirus 1</t>
  </si>
  <si>
    <t>Meles meles polyomavirus 1</t>
  </si>
  <si>
    <t>Miniopterus africanus polyomavirus 1</t>
  </si>
  <si>
    <t>Mus musculus polyomavirus 2</t>
  </si>
  <si>
    <t>Myotis lucifugus polyomavirus 1</t>
  </si>
  <si>
    <t>Papio cynocephalus polyomavirus 2</t>
  </si>
  <si>
    <t>Pteronotus davyi polyomavirus 1</t>
  </si>
  <si>
    <t>Pteronotus parnellii polyomavirus 1</t>
  </si>
  <si>
    <t>Saimiri boliviensis polyomavirus 1</t>
  </si>
  <si>
    <t>Saimiri sciureus polyomavirus 1</t>
  </si>
  <si>
    <t>Zalophus californianus polyomavirus 1</t>
  </si>
  <si>
    <t>Deltapolyomavirus</t>
  </si>
  <si>
    <t>Human polyomavirus 6</t>
  </si>
  <si>
    <t>Human polyomavirus 7</t>
  </si>
  <si>
    <t>Human polyomavirus 10</t>
  </si>
  <si>
    <t>Human polyomavirus 11</t>
  </si>
  <si>
    <t>Gammapolyomavirus</t>
  </si>
  <si>
    <t>Anser anser polyomavirus 1</t>
  </si>
  <si>
    <t>Aves polyomavirus 1</t>
  </si>
  <si>
    <t>Corvus monedula polyomavirus 1</t>
  </si>
  <si>
    <t>Cracticus torquatus polyomavirus 1</t>
  </si>
  <si>
    <t>Pygoscelis adeliae polyomavirus 1</t>
  </si>
  <si>
    <t>Pyrrhula pyrrhula polyomavirus 1</t>
  </si>
  <si>
    <t>Serinus canaria polyomavirus 1</t>
  </si>
  <si>
    <t>Bos taurus polyomavirus 1</t>
  </si>
  <si>
    <t>Centropristis striata polyomavirus 1</t>
  </si>
  <si>
    <t>Delphinus delphis polyomavirus 1</t>
  </si>
  <si>
    <t>Caladenia virus A</t>
  </si>
  <si>
    <t>Catharanthus mosaic virus</t>
  </si>
  <si>
    <t>Donkey orchid virus A</t>
  </si>
  <si>
    <t>Sunflower mild mosaic virus</t>
  </si>
  <si>
    <t>Tamarillo leaf malformation virus</t>
  </si>
  <si>
    <t>Vanilla distortion mosaic virus</t>
  </si>
  <si>
    <t>Southern rice black-streaked dwarf virus</t>
  </si>
  <si>
    <t>Piscine orthoreovirus</t>
  </si>
  <si>
    <t>Sarthroviridae</t>
  </si>
  <si>
    <t>Macronovirus</t>
  </si>
  <si>
    <t>Macrobrachium satellite virus 1</t>
  </si>
  <si>
    <t>Thermus virus IN93</t>
  </si>
  <si>
    <t>Thermus virus P23-77</t>
  </si>
  <si>
    <t>Bacillus virus AP50</t>
  </si>
  <si>
    <t>Bacillus virus Bam35</t>
  </si>
  <si>
    <t>Alphacarmovirus</t>
  </si>
  <si>
    <t>Yam spherical virus</t>
  </si>
  <si>
    <t>Betacarmovirus</t>
  </si>
  <si>
    <t>Gammacarmovirus</t>
  </si>
  <si>
    <t>Pelarspovirus</t>
  </si>
  <si>
    <t>Albetovirus</t>
  </si>
  <si>
    <t>Tobacco albetovirus 1</t>
  </si>
  <si>
    <t>Tobacco albetovirus 2</t>
  </si>
  <si>
    <t>Tobacco albetovirus 3</t>
  </si>
  <si>
    <t>Aumaivirus</t>
  </si>
  <si>
    <t>Maize aumaivirus 1</t>
  </si>
  <si>
    <t>Botybirnavirus</t>
  </si>
  <si>
    <t>Botrytis porri botybirnavirus 1</t>
  </si>
  <si>
    <t>Papanivirus</t>
  </si>
  <si>
    <t>Panicum papanivirus 1</t>
  </si>
  <si>
    <t>Sinaivirus</t>
  </si>
  <si>
    <t>Lake Sinai virus 1</t>
  </si>
  <si>
    <t>Lake Sinai virus 2</t>
  </si>
  <si>
    <t>Artemisia virus A</t>
  </si>
  <si>
    <t>Cymbidium chlorotic mosaic virus</t>
  </si>
  <si>
    <t>Papaya lethal yellowing virus</t>
  </si>
  <si>
    <t>Rottboellia yellow mottle virus</t>
  </si>
  <si>
    <t>Soybean yellow common mosaic virus</t>
  </si>
  <si>
    <t>Virtovirus</t>
  </si>
  <si>
    <t>Tobacco virtovirus 1</t>
  </si>
  <si>
    <t>Goravirus</t>
  </si>
  <si>
    <t>Drakaea virus A</t>
  </si>
  <si>
    <t>Gentian ovary ringspot virus</t>
  </si>
  <si>
    <t>Metapneumovirus</t>
  </si>
  <si>
    <t>Kotonkan ephemerovirus</t>
  </si>
  <si>
    <t>Dyoomegapapillomavirus</t>
  </si>
  <si>
    <t>Spreadsheet Column Name</t>
  </si>
  <si>
    <t>Definition</t>
  </si>
  <si>
    <t>An 'Order' is the highest taxonomic level into which virus species can be classified. Use of the taxonomic level Order is optional.  If 'Unassigned' has been entered, the taxon has not been assigned to an Order</t>
  </si>
  <si>
    <t>A  'Family' is a level in the taxonomic hierarchy into which virus species can be classified.  If marked 'Unassigned' (which is rare) the lower taxonomic level of 'Genus' has not been assigned to a Family</t>
  </si>
  <si>
    <t>A  'Subfamily' is a level in the taxonomic hierarchy into which virus species can be classified. Use of the taxonomic level Subfamily is optional. If left blank, the lower  taxonomic levels of genus and/or species have not been assigned to a Subfamily</t>
  </si>
  <si>
    <t>A  'Genus' is a level in the taxonomic hierarchy into which virus species can be classified.  If 'Unassigned' (which is rare) that species has not been assigned to a Genus.</t>
  </si>
  <si>
    <r>
      <t xml:space="preserve">A Species is the lowest taxonomic level in the hierarchy approved by the ICTV. While subspecies levels of classification may exist for some viruses species (e.g. </t>
    </r>
    <r>
      <rPr>
        <i/>
        <sz val="12"/>
        <color indexed="8"/>
        <rFont val="Arial"/>
        <family val="2"/>
      </rPr>
      <t>Hepatitis C virus</t>
    </r>
    <r>
      <rPr>
        <sz val="12"/>
        <color indexed="8"/>
        <rFont val="Arial"/>
        <family val="2"/>
      </rPr>
      <t>), the ICTV does not discuss or approve the classification of viruses below the species level.</t>
    </r>
  </si>
  <si>
    <t>One 'Type Species' is chosen for each Genus to serve as an example of a well characterized species for that Genus. If the value in this column is '1', this indicates that this species has been chosen as the type species for its genus.</t>
  </si>
  <si>
    <t>The nature (molecular and genetic composition) of the virus genome packaged into the virion. Possible values are:
- dsDNA
- ssDNA
- ssDNA(-)
- ssDNA(+)
- ssDNA(+/-)
- dsDNA-RT
- ssRNA-RT
- dsRNA
- ssRNA(-)
- ssRNA(+)
- ssRNA(+/-)
- Viroid</t>
  </si>
  <si>
    <t>The last change made to each virus species across the entire history of the taxon. Possible changes include a combination of the following:
- Abolished
- Merged
- Moved
- New
- Promoted
- Renamed
- Split
- Assigned as Type Species</t>
  </si>
  <si>
    <t>The release number of the Master Species List (MSL) where the Last Change occurred. See http://www.ictvonline.org/taxonomyReleases.asp for a list of MSLs and their year of release.</t>
  </si>
  <si>
    <t>The file name of the taxonomic proposal that details the justification for the last change. Proposals can be retrieved by appending the file nameand '.pdf' to the end of the following url: http://www.ictvonline.org/proposals/&lt;replace with file name.pdf&gt;</t>
  </si>
  <si>
    <t>The web url link that provides the complete taxonomic history of the species. The proposal indicated above can be downloaded from the link provided by the last changed entry in the history.</t>
  </si>
  <si>
    <t>MSL of Last Change</t>
  </si>
  <si>
    <t>European mountain ash ringspot-associated emaravirus</t>
  </si>
  <si>
    <t>Fig mosaic emaravirus</t>
  </si>
  <si>
    <t>High Plains wheat mosaic emaravirus</t>
  </si>
  <si>
    <t>Pigeonpea sterility mosaic emaravirus 1</t>
  </si>
  <si>
    <t>Raspberry leaf blotch emaravirus</t>
  </si>
  <si>
    <t>Rose rosette emaravirus</t>
  </si>
  <si>
    <t>Andes orthohantavirus</t>
  </si>
  <si>
    <t>Bayou orthohantavirus</t>
  </si>
  <si>
    <t>Black Creek Canal orthohantavirus</t>
  </si>
  <si>
    <t>Cano Delgadito orthohantavirus</t>
  </si>
  <si>
    <t>Dobrava-Belgrade orthohantavirus</t>
  </si>
  <si>
    <t>El Moro Canyon orthohantavirus</t>
  </si>
  <si>
    <t>Hantaan orthohantavirus</t>
  </si>
  <si>
    <t>Khabarovsk orthohantavirus</t>
  </si>
  <si>
    <t>Laguna Negra orthohantavirus</t>
  </si>
  <si>
    <t>Prospect Hill orthohantavirus</t>
  </si>
  <si>
    <t>Puumala orthohantavirus</t>
  </si>
  <si>
    <t>Sangassou orthohantavirus</t>
  </si>
  <si>
    <t>Seoul orthohantavirus</t>
  </si>
  <si>
    <t>Sin Nombre orthohantavirus</t>
  </si>
  <si>
    <t>Thailand orthohantavirus</t>
  </si>
  <si>
    <t>Thottapalayam orthohantavirus</t>
  </si>
  <si>
    <t>Tula orthohantavirus</t>
  </si>
  <si>
    <t>Crimean-Congo hemorrhagic fever orthonairovirus</t>
  </si>
  <si>
    <t>Dera Ghazi Khan orthonairovirus</t>
  </si>
  <si>
    <t>Dugbe orthonairovirus</t>
  </si>
  <si>
    <t>Hughes orthonairovirus</t>
  </si>
  <si>
    <t>Qalyub orthonairovirus</t>
  </si>
  <si>
    <t>Sakhalin orthonairovirus</t>
  </si>
  <si>
    <t>Thiafora orthonairovirus</t>
  </si>
  <si>
    <t>Echinochloa hoja blanca tenuivirus</t>
  </si>
  <si>
    <t>Iranian wheat stripe tenuivirus</t>
  </si>
  <si>
    <t>Maize stripe tenuivirus</t>
  </si>
  <si>
    <t>Rice grassy stunt tenuivirus</t>
  </si>
  <si>
    <t>Rice hoja blanca tenuivirus</t>
  </si>
  <si>
    <t>Rice stripe tenuivirus</t>
  </si>
  <si>
    <t>Urochloa hoja blanca tenuivirus</t>
  </si>
  <si>
    <t>Groundnut bud necrosis orthotospovirus</t>
  </si>
  <si>
    <t>Groundnut ringspot orthotospovirus</t>
  </si>
  <si>
    <t>Groundnut yellow spot orthotospovirus</t>
  </si>
  <si>
    <t>Impatiens necrotic spot orthotospovirus</t>
  </si>
  <si>
    <t>Iris yellow spot orthotospovirus</t>
  </si>
  <si>
    <t>Polygonum ringspot orthotospovirus</t>
  </si>
  <si>
    <t>Tomato chlorotic spot orthotospovirus</t>
  </si>
  <si>
    <t>Tomato spotted wilt orthotospovirus</t>
  </si>
  <si>
    <t>Watermelon bud necrosis orthotospovirus</t>
  </si>
  <si>
    <t>Watermelon silver mottle orthotospovirus</t>
  </si>
  <si>
    <t>Zucchini lethal chlorosis orthotospovirus</t>
  </si>
  <si>
    <t>Bcep22virus</t>
  </si>
  <si>
    <t>Alphaendornavirus</t>
  </si>
  <si>
    <t>Basella alba alphaendornavirus 1</t>
  </si>
  <si>
    <t>Bell pepper alphaendornavirus</t>
  </si>
  <si>
    <t>Helicobasidium mompa alphaendornavirus 1</t>
  </si>
  <si>
    <t>Oryza rufipogon alphaendornavirus</t>
  </si>
  <si>
    <t>Oryza sativa alphaendornavirus</t>
  </si>
  <si>
    <t>Persea americana alphaendornavirus 1</t>
  </si>
  <si>
    <t>Phaseolus vulgaris alphaendornavirus 1</t>
  </si>
  <si>
    <t>Phaseolus vulgaris alphaendornavirus 2</t>
  </si>
  <si>
    <t>Phytophthora alphaendornavirus 1</t>
  </si>
  <si>
    <t>Vicia faba alphaendornavirus</t>
  </si>
  <si>
    <t>Yerba mate alphaendornavirus</t>
  </si>
  <si>
    <t>Bunyavirales</t>
  </si>
  <si>
    <t>Fimoviridae</t>
  </si>
  <si>
    <t>Hantaviridae</t>
  </si>
  <si>
    <t>Orthohantavirus</t>
  </si>
  <si>
    <t>Nairoviridae</t>
  </si>
  <si>
    <t>Orthonairovirus</t>
  </si>
  <si>
    <t>Peribunyaviridae</t>
  </si>
  <si>
    <t>Phenuiviridae</t>
  </si>
  <si>
    <t>Tospoviridae</t>
  </si>
  <si>
    <t>Orthotospovirus</t>
  </si>
  <si>
    <t>Ounavirinae</t>
  </si>
  <si>
    <t>Ea214virus</t>
  </si>
  <si>
    <t>Elvirus</t>
  </si>
  <si>
    <t>Cp1virus</t>
  </si>
  <si>
    <t>Bclasvirinae</t>
  </si>
  <si>
    <t>Acadianvirus</t>
  </si>
  <si>
    <t>Coopervirus</t>
  </si>
  <si>
    <t>Pipefishvirus</t>
  </si>
  <si>
    <t>Rosebushvirus</t>
  </si>
  <si>
    <t>Salmonella virus f18SE</t>
  </si>
  <si>
    <t>Mclasvirinae</t>
  </si>
  <si>
    <t>Bongovirus</t>
  </si>
  <si>
    <t>Pclasvirinae</t>
  </si>
  <si>
    <t>Fishburnevirus</t>
  </si>
  <si>
    <t>Patiencevirus</t>
  </si>
  <si>
    <t>Rer2virus</t>
  </si>
  <si>
    <t>Hapavirus</t>
  </si>
  <si>
    <t>Flanders hapavirus</t>
  </si>
  <si>
    <t>Ngaingan hapavirus</t>
  </si>
  <si>
    <t>Wongabel hapavirus</t>
  </si>
  <si>
    <t>African pouched rat arterivirus</t>
  </si>
  <si>
    <t>Betaendornavirus</t>
  </si>
  <si>
    <t>Sclerotinia sclerotiorum betaendornavirus 1</t>
  </si>
  <si>
    <t>Fibrovirus</t>
  </si>
  <si>
    <t>Lineavirus</t>
  </si>
  <si>
    <t>Saetivirus</t>
  </si>
  <si>
    <t>Vespertiliovirus</t>
  </si>
  <si>
    <t>Alphairidovirinae</t>
  </si>
  <si>
    <t>Betairidovirinae</t>
  </si>
  <si>
    <t>Tristromaviridae</t>
  </si>
  <si>
    <t>Alphatristromavirus</t>
  </si>
  <si>
    <t>Feraviridae</t>
  </si>
  <si>
    <t>Orthoferavirus</t>
  </si>
  <si>
    <t>Ferak orthoferavirus</t>
  </si>
  <si>
    <t>Actinidia chlorotic ringspot-associated emaravirus</t>
  </si>
  <si>
    <t>Pigeonpea sterility mosaic emaravirus 2</t>
  </si>
  <si>
    <t>Redbud yellow ringspot-associated emaravirus</t>
  </si>
  <si>
    <t>Amga orthohantavirus</t>
  </si>
  <si>
    <t>Asama orthohantavirus</t>
  </si>
  <si>
    <t>Asikkala orthohantavirus</t>
  </si>
  <si>
    <t>Bowe orthohantavirus</t>
  </si>
  <si>
    <t>Bruges orthohantavirus</t>
  </si>
  <si>
    <t>Cao Bang orthohantavirus</t>
  </si>
  <si>
    <t>Choclo orthohantavirus</t>
  </si>
  <si>
    <t>Dabieshan orthohantavirus</t>
  </si>
  <si>
    <t>Fugong orthohantavirus</t>
  </si>
  <si>
    <t>Fusong orthohantavirus</t>
  </si>
  <si>
    <t>Imjin orthohantavirus</t>
  </si>
  <si>
    <t>Jeju orthohantavirus</t>
  </si>
  <si>
    <t>Kenkeme orthohantavirus</t>
  </si>
  <si>
    <t>Laibin orthohantavirus</t>
  </si>
  <si>
    <t>Longquan orthohantavirus</t>
  </si>
  <si>
    <t>Luxi orthohantavirus</t>
  </si>
  <si>
    <t>Maporal orthohantavirus</t>
  </si>
  <si>
    <t>Montano orthohantavirus</t>
  </si>
  <si>
    <t>Necocli orthohantavirus</t>
  </si>
  <si>
    <t>Nova orthohantavirus</t>
  </si>
  <si>
    <t>Oxbow orthohantavirus</t>
  </si>
  <si>
    <t>Quezon orthohantavirus</t>
  </si>
  <si>
    <t>Rockport orthohantavirus</t>
  </si>
  <si>
    <t>Yakeshi orthohantavirus</t>
  </si>
  <si>
    <t>Herbevirus</t>
  </si>
  <si>
    <t>Herbert herbevirus</t>
  </si>
  <si>
    <t>Kibale herbevirus</t>
  </si>
  <si>
    <t>Shuangao insect herbevirus 1</t>
  </si>
  <si>
    <t>Tai herbevirus</t>
  </si>
  <si>
    <t>Jonviridae</t>
  </si>
  <si>
    <t>Orthojonvirus</t>
  </si>
  <si>
    <t>Hazara orthonairovirus</t>
  </si>
  <si>
    <t>Kasokero orthonairovirus</t>
  </si>
  <si>
    <t>Keterah orthonairovirus</t>
  </si>
  <si>
    <t>Nairobi sheep disease orthonairovirus</t>
  </si>
  <si>
    <t>Phasmaviridae</t>
  </si>
  <si>
    <t>Orthophasmavirus</t>
  </si>
  <si>
    <t>Kigluaik phantom orthophasmavirus</t>
  </si>
  <si>
    <t>Nome phantom orthophasmavirus</t>
  </si>
  <si>
    <t>Shuangao insect orthophasmavirus 2</t>
  </si>
  <si>
    <t>Wuchang cockroach orthophasmavirus 1</t>
  </si>
  <si>
    <t>Wuhan mosquito orthophasmavirus 1</t>
  </si>
  <si>
    <t>Wuhan mosquito orthophasmavirus 2</t>
  </si>
  <si>
    <t>Goukovirus</t>
  </si>
  <si>
    <t>Cumuto goukovirus</t>
  </si>
  <si>
    <t>Gouleako goukovirus</t>
  </si>
  <si>
    <t>Yichang insect goukovirus</t>
  </si>
  <si>
    <t>Phasivirus</t>
  </si>
  <si>
    <t>Badu phasivirus</t>
  </si>
  <si>
    <t>Phasi Charoen-like phasivirus</t>
  </si>
  <si>
    <t>Wuhan fly phasivirus</t>
  </si>
  <si>
    <t>Wutai mosquito phasivirus</t>
  </si>
  <si>
    <t>Campylobacter virus CP30A</t>
  </si>
  <si>
    <t>Erwinia virus M7</t>
  </si>
  <si>
    <t>Escherichia virus HY02</t>
  </si>
  <si>
    <t>Escherichia virus TP1</t>
  </si>
  <si>
    <t>Mooglevirus</t>
  </si>
  <si>
    <t>Citrobacter virus Moogle</t>
  </si>
  <si>
    <t>Citrobacter virus Mordin</t>
  </si>
  <si>
    <t>Suspvirus</t>
  </si>
  <si>
    <t>Escherichia virus SUSP1</t>
  </si>
  <si>
    <t>Escherichia virus SUSP2</t>
  </si>
  <si>
    <t>Staphylococcus virus Rodi</t>
  </si>
  <si>
    <t>Staphylococcus virus S25-4</t>
  </si>
  <si>
    <t>Staphylococcus virus Stau2</t>
  </si>
  <si>
    <t>Bacillus virus Camphawk</t>
  </si>
  <si>
    <t>Tsarbombavirus</t>
  </si>
  <si>
    <t>Bacillus virus BCP78</t>
  </si>
  <si>
    <t>Bacillus virus TsarBomba</t>
  </si>
  <si>
    <t>Jd18virus</t>
  </si>
  <si>
    <t>Klebsiella virus JD18</t>
  </si>
  <si>
    <t>Klebsiella virus PKO111</t>
  </si>
  <si>
    <t>Escherichia virus QL01</t>
  </si>
  <si>
    <t>Kp15virus</t>
  </si>
  <si>
    <t>Enterobacter virus Eap3</t>
  </si>
  <si>
    <t>Klebsiella virus KP15</t>
  </si>
  <si>
    <t>Klebsiella virus KP27</t>
  </si>
  <si>
    <t>Klebsiella virus Matisse</t>
  </si>
  <si>
    <t>Klebsiella virus Miro</t>
  </si>
  <si>
    <t>Moonvirus</t>
  </si>
  <si>
    <t>Citrobacter virus Merlin</t>
  </si>
  <si>
    <t>Citrobacter virus Moon</t>
  </si>
  <si>
    <t>Escherichia virus JSE</t>
  </si>
  <si>
    <t>Escherichia virus HY01</t>
  </si>
  <si>
    <t>Cronobacter virus PBES02</t>
  </si>
  <si>
    <t>Pectobacterium virus phiTE</t>
  </si>
  <si>
    <t>Abouovirus</t>
  </si>
  <si>
    <t>Brevibacillus virus Abouo</t>
  </si>
  <si>
    <t>Brevibacillus virus Davies</t>
  </si>
  <si>
    <t>Agrican357virus</t>
  </si>
  <si>
    <t>Erwinia virus Deimos</t>
  </si>
  <si>
    <t>Erwinia virus Ea35-70</t>
  </si>
  <si>
    <t>Erwinia virus RAY</t>
  </si>
  <si>
    <t>Erwinia virus Simmy50</t>
  </si>
  <si>
    <t>Erwinia virus SpecialG</t>
  </si>
  <si>
    <t>Arv1virus</t>
  </si>
  <si>
    <t>Arthrobacter virus ArV1</t>
  </si>
  <si>
    <t>Arthrobacter virus Trina</t>
  </si>
  <si>
    <t>Bacillus virus AvesoBmore</t>
  </si>
  <si>
    <t>Bacillus virus BM15</t>
  </si>
  <si>
    <t>Bacillus virus Deepblue</t>
  </si>
  <si>
    <t>Mycobacterium virus Alice</t>
  </si>
  <si>
    <t>Mycobacterium virus Bxz1</t>
  </si>
  <si>
    <t>Mycobacterium virus Dandelion</t>
  </si>
  <si>
    <t>Mycobacterium virus HyRo</t>
  </si>
  <si>
    <t>Mycobacterium virus Nappy</t>
  </si>
  <si>
    <t>Mycobacterium virus Sebata</t>
  </si>
  <si>
    <t>Jimmervirus</t>
  </si>
  <si>
    <t>Brevibacillus virus Jimmer</t>
  </si>
  <si>
    <t>Brevibacillus virus Osiris</t>
  </si>
  <si>
    <t>M12virus</t>
  </si>
  <si>
    <t>Sinorhizobium virus M7</t>
  </si>
  <si>
    <t>Sinorhizobium virus M12</t>
  </si>
  <si>
    <t>Sinorhizobium virus N3</t>
  </si>
  <si>
    <t>Marthavirus</t>
  </si>
  <si>
    <t>Arthrobacter virus Brent</t>
  </si>
  <si>
    <t>Arthrobacter virus Jawnski</t>
  </si>
  <si>
    <t>Arthrobacter virus Martha</t>
  </si>
  <si>
    <t>Arthrobacter virus Sonny</t>
  </si>
  <si>
    <t>Msw3virus</t>
  </si>
  <si>
    <t>Edwardsiella virus MSW3</t>
  </si>
  <si>
    <t>Edwardsiella virus PEi21</t>
  </si>
  <si>
    <t>Shigella virus SfMu</t>
  </si>
  <si>
    <t>Pseudomonas virus PA7</t>
  </si>
  <si>
    <t>Rsl2virus</t>
  </si>
  <si>
    <t>Ralstonia virus RSF1</t>
  </si>
  <si>
    <t>Ralstonia virus RSL2</t>
  </si>
  <si>
    <t>Rslunavirus</t>
  </si>
  <si>
    <t>Ralstonia virus RSL1</t>
  </si>
  <si>
    <t>Sep1virus</t>
  </si>
  <si>
    <t>Staphylococcus virus IPLAC1C</t>
  </si>
  <si>
    <t>Staphylococcus virus SEP1</t>
  </si>
  <si>
    <t>Spn3virus</t>
  </si>
  <si>
    <t>Salmonella virus SPN3US</t>
  </si>
  <si>
    <t>Bacillus virus BPS13</t>
  </si>
  <si>
    <t>Bacillus virus Hakuna</t>
  </si>
  <si>
    <t>Bacillus virus Megatron</t>
  </si>
  <si>
    <t>Fri1virus</t>
  </si>
  <si>
    <t>Acinetobacter virus AB3</t>
  </si>
  <si>
    <t>Acinetobacter virus Abp1</t>
  </si>
  <si>
    <t>Acinetobacter virus Fri1</t>
  </si>
  <si>
    <t>Acinetobacter virus IME200</t>
  </si>
  <si>
    <t>Acinetobacter virus PD6A3</t>
  </si>
  <si>
    <t>Acinetobacter virus PDAB9</t>
  </si>
  <si>
    <t>Acinetobacter virus phiAB1</t>
  </si>
  <si>
    <t>Kp32virus</t>
  </si>
  <si>
    <t>Escherichia virus K30</t>
  </si>
  <si>
    <t>Klebsiella virus K5</t>
  </si>
  <si>
    <t>Klebsiella virus K11</t>
  </si>
  <si>
    <t>Klebsiella virus Kp1</t>
  </si>
  <si>
    <t>Klebsiella virus KP32</t>
  </si>
  <si>
    <t>Klebsiella virus KpV289</t>
  </si>
  <si>
    <t>Klebsiella virus Kp2</t>
  </si>
  <si>
    <t>Klebsiella virus KpV41</t>
  </si>
  <si>
    <t>Klebsiella virus KpV71</t>
  </si>
  <si>
    <t>Klebsiella virus KpV475</t>
  </si>
  <si>
    <t>Pradovirus</t>
  </si>
  <si>
    <t>Xanthomonas virus f20</t>
  </si>
  <si>
    <t>Xanthomonas virus f30</t>
  </si>
  <si>
    <t>Xylella virus Prado</t>
  </si>
  <si>
    <t>Streptococcus virus Cp7</t>
  </si>
  <si>
    <t>Sepvirinae</t>
  </si>
  <si>
    <t>Nona33virus</t>
  </si>
  <si>
    <t>Escherichia virus 24B</t>
  </si>
  <si>
    <t>Escherichia virus 933W</t>
  </si>
  <si>
    <t>Escherichia virus Min27</t>
  </si>
  <si>
    <t>Escherichia virus PA28</t>
  </si>
  <si>
    <t>Escherichia virus Stx2 II</t>
  </si>
  <si>
    <t>Pocjvirus</t>
  </si>
  <si>
    <t>Shigella virus 7502Stx</t>
  </si>
  <si>
    <t>Shigella virus POCJ13</t>
  </si>
  <si>
    <t>Tl2011virus</t>
  </si>
  <si>
    <t>Escherichia virus 191</t>
  </si>
  <si>
    <t>Escherichia virus PA2</t>
  </si>
  <si>
    <t>Escherichia virus TL2011</t>
  </si>
  <si>
    <t>Shigella virus VASD</t>
  </si>
  <si>
    <t>Ea92virus</t>
  </si>
  <si>
    <t>Erwinia virus Ea9-2</t>
  </si>
  <si>
    <t>Erwinia virus Frozen</t>
  </si>
  <si>
    <t>Salmonella virus SPN1S</t>
  </si>
  <si>
    <t>Kf1virus</t>
  </si>
  <si>
    <t>Edwardsiella virus KF1</t>
  </si>
  <si>
    <t>Kpp25virus</t>
  </si>
  <si>
    <t>Pseudomonas virus KPP25</t>
  </si>
  <si>
    <t>Pseudomonas virus R18</t>
  </si>
  <si>
    <t>Luz7virus</t>
  </si>
  <si>
    <t>Pseudomonas virus KPP21</t>
  </si>
  <si>
    <t>Pseudomonas virus LUZ7</t>
  </si>
  <si>
    <t>Escherichia virus 172-1</t>
  </si>
  <si>
    <t>Prtbvirus</t>
  </si>
  <si>
    <t>Brucella virus Pr</t>
  </si>
  <si>
    <t>Brucella virus Tb</t>
  </si>
  <si>
    <t>Una961virus</t>
  </si>
  <si>
    <t>Helicobacter virus 1961P</t>
  </si>
  <si>
    <t>Helicobacter virus KHP30</t>
  </si>
  <si>
    <t>Helicobacter virus KHP40</t>
  </si>
  <si>
    <t>Arquatrovirinae</t>
  </si>
  <si>
    <t>Camvirus</t>
  </si>
  <si>
    <t>Streptomyces virus Amela</t>
  </si>
  <si>
    <t>Streptomyces virus phiCAM</t>
  </si>
  <si>
    <t>Likavirus</t>
  </si>
  <si>
    <t>Streptomyces virus Aaronocolus</t>
  </si>
  <si>
    <t>Streptomyces virus Caliburn</t>
  </si>
  <si>
    <t>Streptomyces virus Danzina</t>
  </si>
  <si>
    <t>Streptomyces virus Hydra</t>
  </si>
  <si>
    <t>Streptomyces virus Izzy</t>
  </si>
  <si>
    <t>Streptomyces virus Lannister</t>
  </si>
  <si>
    <t>Streptomyces virus Lika</t>
  </si>
  <si>
    <t>Streptomyces virus Sujidade</t>
  </si>
  <si>
    <t>Streptomyces virus Zemlya</t>
  </si>
  <si>
    <t>R4virus</t>
  </si>
  <si>
    <t>Streptomyces virus ELB20</t>
  </si>
  <si>
    <t>Streptomyces virus R4</t>
  </si>
  <si>
    <t>Streptomyces virus phiHau3</t>
  </si>
  <si>
    <t>Mycobacterium virus Baee</t>
  </si>
  <si>
    <t>Mycobacterium virus Reprobate</t>
  </si>
  <si>
    <t>Mycobacterium virus Adawi</t>
  </si>
  <si>
    <t>Mycobacterium virus Bane1</t>
  </si>
  <si>
    <t>Mycobacterium virus BrownCNA</t>
  </si>
  <si>
    <t>Mycobacterium virus JAMaL</t>
  </si>
  <si>
    <t>Mycobacterium virus Vincenzo</t>
  </si>
  <si>
    <t>Mycobacterium virus Apizium</t>
  </si>
  <si>
    <t>Mycobacterium virus Manad</t>
  </si>
  <si>
    <t>Mycobacterium virus Osmaximus</t>
  </si>
  <si>
    <t>Mycobacterium virus Soto</t>
  </si>
  <si>
    <t>Mycobacterium virus Suffolk</t>
  </si>
  <si>
    <t>Mycobacterium virus Bernardo</t>
  </si>
  <si>
    <t>Mycobacterium virus Godines</t>
  </si>
  <si>
    <t>Mycobacterium virus Brusacoram</t>
  </si>
  <si>
    <t>Mycobacterium virus Donovan</t>
  </si>
  <si>
    <t>Mycobacterium virus Fishburne</t>
  </si>
  <si>
    <t>Mycobacterium virus Malithi</t>
  </si>
  <si>
    <t>Phayoncevirus</t>
  </si>
  <si>
    <t>Mycobacterium virus Phayonce</t>
  </si>
  <si>
    <t>Klebsiella virus KLPN1</t>
  </si>
  <si>
    <t>Klebsiella virus PKP126</t>
  </si>
  <si>
    <t>Klebsiella virus Sushi</t>
  </si>
  <si>
    <t>Escherichia virus C119</t>
  </si>
  <si>
    <t>Escherichia virus JMPW1</t>
  </si>
  <si>
    <t>Escherichia virus JMPW2</t>
  </si>
  <si>
    <t>Ab18virus</t>
  </si>
  <si>
    <t>Pseudomonas virus Ab18</t>
  </si>
  <si>
    <t>Pseudomonas virus Ab19</t>
  </si>
  <si>
    <t>Pseudomonas virus PaMx11</t>
  </si>
  <si>
    <t>Amigovirus</t>
  </si>
  <si>
    <t>Arthrobacter virus Amigo</t>
  </si>
  <si>
    <t>Bernal13virus</t>
  </si>
  <si>
    <t>Mycobacterium virus Bernal13</t>
  </si>
  <si>
    <t>Lactobacillus virus Ld3</t>
  </si>
  <si>
    <t>Lactobacillus virus Ld17</t>
  </si>
  <si>
    <t>Lactobacillus virus Ld25A</t>
  </si>
  <si>
    <t>Lactobacillus virus phiLdb</t>
  </si>
  <si>
    <t>Cronusvirus</t>
  </si>
  <si>
    <t>Rhodobacter virus RcCronus</t>
  </si>
  <si>
    <t>Decurrovirus</t>
  </si>
  <si>
    <t>Arthrobacter virus Decurro</t>
  </si>
  <si>
    <t>Demosthenesvirus</t>
  </si>
  <si>
    <t>Gordonia virus Demosthenes</t>
  </si>
  <si>
    <t>Gordonia virus Katyusha</t>
  </si>
  <si>
    <t>Gordonia virus Kvothe</t>
  </si>
  <si>
    <t>Eiauvirus</t>
  </si>
  <si>
    <t>Edwardsiella virus eiAU</t>
  </si>
  <si>
    <t>Gaiavirus</t>
  </si>
  <si>
    <t>Mycobacterium virus Gaia</t>
  </si>
  <si>
    <t>Gilesvirus</t>
  </si>
  <si>
    <t>Mycobacterium virus Giles</t>
  </si>
  <si>
    <t>Gordonvirus</t>
  </si>
  <si>
    <t>Arthrobacter virus Captnmurica</t>
  </si>
  <si>
    <t>Arthrobacter virus Gordon</t>
  </si>
  <si>
    <t>Gordtnkvirus</t>
  </si>
  <si>
    <t>Gordonia virus GordTnk2</t>
  </si>
  <si>
    <t>Harrisonvirus</t>
  </si>
  <si>
    <t>Paenibacillus virus Harrison</t>
  </si>
  <si>
    <t>Escherichia virus EK99P1</t>
  </si>
  <si>
    <t>Escherichia virus YD2008s</t>
  </si>
  <si>
    <t>Jenstvirus</t>
  </si>
  <si>
    <t>Brevibacillus virus Jenst</t>
  </si>
  <si>
    <t>Jwxvirus</t>
  </si>
  <si>
    <t>Achromobacter virus 83-24</t>
  </si>
  <si>
    <t>Achromobacter virus JWX</t>
  </si>
  <si>
    <t>Kelleziovirus</t>
  </si>
  <si>
    <t>Arthrobacter virus Kellezzio</t>
  </si>
  <si>
    <t>Arthrobacter virus Kitkat</t>
  </si>
  <si>
    <t>Korravirus</t>
  </si>
  <si>
    <t>Arthrobacter virus Bennie</t>
  </si>
  <si>
    <t>Arthrobacter virus DrRobert</t>
  </si>
  <si>
    <t>Arthrobacter virus Glenn</t>
  </si>
  <si>
    <t>Arthrobacter virus HunterDalle</t>
  </si>
  <si>
    <t>Arthrobacter virus Joann</t>
  </si>
  <si>
    <t>Arthrobacter virus Korra</t>
  </si>
  <si>
    <t>Arthrobacter virus Preamble</t>
  </si>
  <si>
    <t>Arthrobacter virus Pumancara</t>
  </si>
  <si>
    <t>Arthrobacter virus Wayne</t>
  </si>
  <si>
    <t>Laroyevirus</t>
  </si>
  <si>
    <t>Arthrobacter virus Laroye</t>
  </si>
  <si>
    <t>Marvinvirus</t>
  </si>
  <si>
    <t>Mycobacterium virus Marvin</t>
  </si>
  <si>
    <t>Mycobacterium virus Mosmoris</t>
  </si>
  <si>
    <t>Mudcatvirus</t>
  </si>
  <si>
    <t>Arthrobacter virus Circum</t>
  </si>
  <si>
    <t>Arthrobacter virus Mudcat</t>
  </si>
  <si>
    <t>Np1virus</t>
  </si>
  <si>
    <t>Pseudomonas virus NP1</t>
  </si>
  <si>
    <t>Pseudomonas virus PaMx25</t>
  </si>
  <si>
    <t>P12002virus</t>
  </si>
  <si>
    <t>Polaribacter virus P12002L</t>
  </si>
  <si>
    <t>Polaribacter virus P12002S</t>
  </si>
  <si>
    <t>P12024virus</t>
  </si>
  <si>
    <t>Nonlabens virus P12024L</t>
  </si>
  <si>
    <t>Nonlabens virus P12024S</t>
  </si>
  <si>
    <t>Pa6virus</t>
  </si>
  <si>
    <t>Propionibacterium virus ATCC29399BC</t>
  </si>
  <si>
    <t>Propionibacterium virus ATCC29399BT</t>
  </si>
  <si>
    <t>Propionibacterium virus Attacne</t>
  </si>
  <si>
    <t>Propionibacterium virus Keiki</t>
  </si>
  <si>
    <t>Propionibacterium virus Kubed</t>
  </si>
  <si>
    <t>Propionibacterium virus Lauchelly</t>
  </si>
  <si>
    <t>Propionibacterium virus MrAK</t>
  </si>
  <si>
    <t>Propionibacterium virus Ouroboros</t>
  </si>
  <si>
    <t>Propionibacterium virus P91</t>
  </si>
  <si>
    <t>Propionibacterium virus P105</t>
  </si>
  <si>
    <t>Propionibacterium virus P144</t>
  </si>
  <si>
    <t>Propionibacterium virus P1001</t>
  </si>
  <si>
    <t>Propionibacterium virus P1.1</t>
  </si>
  <si>
    <t>Propionibacterium virus P100A</t>
  </si>
  <si>
    <t>Propionibacterium virus P100D</t>
  </si>
  <si>
    <t>Propionibacterium virus P101A</t>
  </si>
  <si>
    <t>Propionibacterium virus P104A</t>
  </si>
  <si>
    <t>Propionibacterium virus PA6</t>
  </si>
  <si>
    <t>Propionibacterium virus Pacnes201215</t>
  </si>
  <si>
    <t>Propionibacterium virus PAD20</t>
  </si>
  <si>
    <t>Propionibacterium virus PAS50</t>
  </si>
  <si>
    <t>Propionibacterium virus PHL009M11</t>
  </si>
  <si>
    <t>Propionibacterium virus PHL025M00</t>
  </si>
  <si>
    <t>Propionibacterium virus PHL037M02</t>
  </si>
  <si>
    <t>Propionibacterium virus PHL041M10</t>
  </si>
  <si>
    <t>Propionibacterium virus PHL060L00</t>
  </si>
  <si>
    <t>Propionibacterium virus PHL067M01</t>
  </si>
  <si>
    <t>Propionibacterium virus PHL070N00</t>
  </si>
  <si>
    <t>Propionibacterium virus PHL071N05</t>
  </si>
  <si>
    <t>Propionibacterium virus PHL082M03</t>
  </si>
  <si>
    <t>Propionibacterium virus PHL092M00</t>
  </si>
  <si>
    <t>Propionibacterium virus PHL095N00</t>
  </si>
  <si>
    <t>Propionibacterium virus PHL111M01</t>
  </si>
  <si>
    <t>Propionibacterium virus PHL112N00</t>
  </si>
  <si>
    <t>Propionibacterium virus PHL113M01</t>
  </si>
  <si>
    <t>Propionibacterium virus PHL114L00</t>
  </si>
  <si>
    <t>Propionibacterium virus PHL116M00</t>
  </si>
  <si>
    <t>Propionibacterium virus PHL117M00</t>
  </si>
  <si>
    <t>Propionibacterium virus PHL117M01</t>
  </si>
  <si>
    <t>Propionibacterium virus PHL132N00</t>
  </si>
  <si>
    <t>Propionibacterium virus PHL141N00</t>
  </si>
  <si>
    <t>Propionibacterium virus PHL151M00</t>
  </si>
  <si>
    <t>Propionibacterium virus PHL151N00</t>
  </si>
  <si>
    <t>Propionibacterium virus PHL152M00</t>
  </si>
  <si>
    <t>Propionibacterium virus PHL163M00</t>
  </si>
  <si>
    <t>Propionibacterium virus PHL171M01</t>
  </si>
  <si>
    <t>Propionibacterium virus PHL179M00</t>
  </si>
  <si>
    <t>Propionibacterium virus PHL194M00</t>
  </si>
  <si>
    <t>Propionibacterium virus PHL199M00</t>
  </si>
  <si>
    <t>Propionibacterium virus PHL301M00</t>
  </si>
  <si>
    <t>Propionibacterium virus PHL308M00</t>
  </si>
  <si>
    <t>Propionibacterium virus Pirate</t>
  </si>
  <si>
    <t>Propionibacterium virus Procrass1</t>
  </si>
  <si>
    <t>Propionibacterium virus SKKY</t>
  </si>
  <si>
    <t>Propionibacterium virus Solid</t>
  </si>
  <si>
    <t>Propionibacterium virus Stormborn</t>
  </si>
  <si>
    <t>Propionibacterium virus Wizzo</t>
  </si>
  <si>
    <t>Pamx74virus</t>
  </si>
  <si>
    <t>Pseudomonas virus PaMx28</t>
  </si>
  <si>
    <t>Pseudomonas virus PaMx74</t>
  </si>
  <si>
    <t>Pepy6virus</t>
  </si>
  <si>
    <t>Rhodococcus virus Pepy6</t>
  </si>
  <si>
    <t>Rhodococcus virus Poco6</t>
  </si>
  <si>
    <t>Pis4avirus</t>
  </si>
  <si>
    <t>Aeromonas virus pIS4A</t>
  </si>
  <si>
    <t>Rdjlvirus</t>
  </si>
  <si>
    <t>Roseobacter virus RDJL1</t>
  </si>
  <si>
    <t>Roseobacter virus RDJL2</t>
  </si>
  <si>
    <t>Send513virus</t>
  </si>
  <si>
    <t>Mycobacterium virus Papyrus</t>
  </si>
  <si>
    <t>Mycobacterium virus Send513</t>
  </si>
  <si>
    <t>Paenibacillus virus Willow</t>
  </si>
  <si>
    <t>Smoothievirus</t>
  </si>
  <si>
    <t>Gordonia virus Bachita</t>
  </si>
  <si>
    <t>Gordonia virus ClubL</t>
  </si>
  <si>
    <t>Gordonia virus OneUp</t>
  </si>
  <si>
    <t>Gordonia virus Smoothie</t>
  </si>
  <si>
    <t>Soupsvirus</t>
  </si>
  <si>
    <t>Gordonia virus Soups</t>
  </si>
  <si>
    <t>Escherichia virus slur09</t>
  </si>
  <si>
    <t>Salmonella virus 118970sal2</t>
  </si>
  <si>
    <t>Tankvirus</t>
  </si>
  <si>
    <t>Arthrobacter virus Tank</t>
  </si>
  <si>
    <t>Tin2virus</t>
  </si>
  <si>
    <t>Tsukamurella virus TIN2</t>
  </si>
  <si>
    <t>Tsukamurella virus TIN3</t>
  </si>
  <si>
    <t>Tsukamurella virus TIN4</t>
  </si>
  <si>
    <t>Titanvirus</t>
  </si>
  <si>
    <t>Rhodobacter virus RcSpartan</t>
  </si>
  <si>
    <t>Rhodobacter virus RcTitan</t>
  </si>
  <si>
    <t>Vegasvirus</t>
  </si>
  <si>
    <t>Paenibacillus virus Vegas</t>
  </si>
  <si>
    <t>Vendettavirus</t>
  </si>
  <si>
    <t>Gordonia virus Vendetta</t>
  </si>
  <si>
    <t>Wildcatvirus</t>
  </si>
  <si>
    <t>Mycobacterium virus Wildcat</t>
  </si>
  <si>
    <t>Woesvirus</t>
  </si>
  <si>
    <t>Gordonia virus Hotorobo</t>
  </si>
  <si>
    <t>Gordonia virus Monty</t>
  </si>
  <si>
    <t>Gordonia virus Woes</t>
  </si>
  <si>
    <t>Ydn12virus</t>
  </si>
  <si>
    <t>Streptomyces virus TP1604</t>
  </si>
  <si>
    <t>Streptomyces virus YDN12</t>
  </si>
  <si>
    <t>Pseudomonas virus LKO4</t>
  </si>
  <si>
    <t>Pseudomonas virus MP1412</t>
  </si>
  <si>
    <t>Pseudomonas virus PAE1</t>
  </si>
  <si>
    <t>Peropuvirus</t>
  </si>
  <si>
    <t>Pteromalus puparum peropuvirus</t>
  </si>
  <si>
    <t>Avian avulavirus 13</t>
  </si>
  <si>
    <t>Achimota rubulavirus 1</t>
  </si>
  <si>
    <t>Achimota rubulavirus 2</t>
  </si>
  <si>
    <t>Bat mumps rubulavirus</t>
  </si>
  <si>
    <t>Menangle rubulavirus</t>
  </si>
  <si>
    <t>Sosuga rubulavirus</t>
  </si>
  <si>
    <t>Teviot rubulavirus</t>
  </si>
  <si>
    <t>Tioman rubulavirus</t>
  </si>
  <si>
    <t>Tuhoko rubulavirus 1</t>
  </si>
  <si>
    <t>Tuhoko rubulavirus 2</t>
  </si>
  <si>
    <t>Tuhoko rubulavirus 3</t>
  </si>
  <si>
    <t>Almendravirus</t>
  </si>
  <si>
    <t>Arboretum almendravirus</t>
  </si>
  <si>
    <t>Balsa almendravirus</t>
  </si>
  <si>
    <t>Coot Bay almendravirus</t>
  </si>
  <si>
    <t>Puerto Almendras almendravirus</t>
  </si>
  <si>
    <t>Rio Chico almendravirus</t>
  </si>
  <si>
    <t>Curiovirus</t>
  </si>
  <si>
    <t>Curionopolis curiovirus</t>
  </si>
  <si>
    <t>Iriri curiovirus</t>
  </si>
  <si>
    <t>Itacaiunas curiovirus</t>
  </si>
  <si>
    <t>Rochambeau curiovirus</t>
  </si>
  <si>
    <t>Colocasia bobone disease-associated cytorhabdovirus</t>
  </si>
  <si>
    <t>Kimberley ephemerovirus</t>
  </si>
  <si>
    <t>Koolpinyah ephemerovirus</t>
  </si>
  <si>
    <t>Yata ephemerovirus</t>
  </si>
  <si>
    <t>Gray Lodge hapavirus</t>
  </si>
  <si>
    <t>Hart Park hapavirus</t>
  </si>
  <si>
    <t>Joinjakaka hapavirus</t>
  </si>
  <si>
    <t>Kamese hapavirus</t>
  </si>
  <si>
    <t>La Joya hapavirus</t>
  </si>
  <si>
    <t>Landjia hapavirus</t>
  </si>
  <si>
    <t>Manitoba hapavirus</t>
  </si>
  <si>
    <t>Marco hapavirus</t>
  </si>
  <si>
    <t>Mosqueiro hapavirus</t>
  </si>
  <si>
    <t>Mossuril hapavirus</t>
  </si>
  <si>
    <t>Ord River hapavirus</t>
  </si>
  <si>
    <t>Parry Creek hapavirus</t>
  </si>
  <si>
    <t>Ledantevirus</t>
  </si>
  <si>
    <t>Barur ledantevirus</t>
  </si>
  <si>
    <t>Fikirini ledantevirus</t>
  </si>
  <si>
    <t>Fukuoka ledantevirus</t>
  </si>
  <si>
    <t>Kern Canyon ledantevirus</t>
  </si>
  <si>
    <t>Keuraliba ledantevirus</t>
  </si>
  <si>
    <t>Kolente ledantevirus</t>
  </si>
  <si>
    <t>Kumasi ledantevirus</t>
  </si>
  <si>
    <t>Le Dantec ledantevirus</t>
  </si>
  <si>
    <t>Mount Elgon bat ledantevirus</t>
  </si>
  <si>
    <t>Nishimuro ledantevirus</t>
  </si>
  <si>
    <t>Nkolbisson ledantevirus</t>
  </si>
  <si>
    <t>Oita ledantevirus</t>
  </si>
  <si>
    <t>Wuhan ledantevirus</t>
  </si>
  <si>
    <t>Yongjia ledantevirus</t>
  </si>
  <si>
    <t>Sripuvirus</t>
  </si>
  <si>
    <t>Almpiwar sripuvirus</t>
  </si>
  <si>
    <t>Chaco sripuvirus</t>
  </si>
  <si>
    <t>Niakha sripuvirus</t>
  </si>
  <si>
    <t>Sena Madureira sripuvirus</t>
  </si>
  <si>
    <t>Sripur sripuvirus</t>
  </si>
  <si>
    <t>Bas-Congo tibrovirus</t>
  </si>
  <si>
    <t>Ekpoma 1 tibrovirus</t>
  </si>
  <si>
    <t>Ekpoma 2 tibrovirus</t>
  </si>
  <si>
    <t>Sweetwater Branch tibrovirus</t>
  </si>
  <si>
    <t>Klamath tupavirus</t>
  </si>
  <si>
    <t>American bat vesiculovirus</t>
  </si>
  <si>
    <t>Jurona vesiculovirus</t>
  </si>
  <si>
    <t>Malpais Spring vesiculovirus</t>
  </si>
  <si>
    <t>Morreton vesiculovirus</t>
  </si>
  <si>
    <t>Perinet vesiculovirus</t>
  </si>
  <si>
    <t>Radi vesiculovirus</t>
  </si>
  <si>
    <t>Yug Bogdanovac vesiculovirus</t>
  </si>
  <si>
    <t>Rat arterivirus 1</t>
  </si>
  <si>
    <t>Free State vervet virus</t>
  </si>
  <si>
    <t>Kafue kinda chacma baboon virus</t>
  </si>
  <si>
    <t>Bovine nidovirus 1</t>
  </si>
  <si>
    <t>Chinook salmon nidovirus 1</t>
  </si>
  <si>
    <t>Brevicoryne brassicae virus</t>
  </si>
  <si>
    <t>Ampivirus</t>
  </si>
  <si>
    <t>Ampivirus A</t>
  </si>
  <si>
    <t>Avisivirus B</t>
  </si>
  <si>
    <t>Avisivirus C</t>
  </si>
  <si>
    <t>Cosavirus B</t>
  </si>
  <si>
    <t>Cosavirus D</t>
  </si>
  <si>
    <t>Cosavirus E</t>
  </si>
  <si>
    <t>Cosavirus F</t>
  </si>
  <si>
    <t>Enterovirus I</t>
  </si>
  <si>
    <t>Harkavirus</t>
  </si>
  <si>
    <t>Harkavirus A</t>
  </si>
  <si>
    <t>Hepatovirus B</t>
  </si>
  <si>
    <t>Hepatovirus C</t>
  </si>
  <si>
    <t>Hepatovirus D</t>
  </si>
  <si>
    <t>Hepatovirus E</t>
  </si>
  <si>
    <t>Hepatovirus F</t>
  </si>
  <si>
    <t>Hepatovirus G</t>
  </si>
  <si>
    <t>Hepatovirus H</t>
  </si>
  <si>
    <t>Hepatovirus I</t>
  </si>
  <si>
    <t>Aichivirus D</t>
  </si>
  <si>
    <t>Aichivirus E</t>
  </si>
  <si>
    <t>Aichivirus F</t>
  </si>
  <si>
    <t>Mischivirus B</t>
  </si>
  <si>
    <t>Mischivirus C</t>
  </si>
  <si>
    <t>Parechovirus C</t>
  </si>
  <si>
    <t>Parechovirus D</t>
  </si>
  <si>
    <t>Rabovirus</t>
  </si>
  <si>
    <t>Rabovirus A</t>
  </si>
  <si>
    <t>Torchivirus</t>
  </si>
  <si>
    <t>Torchivirus A</t>
  </si>
  <si>
    <t>Currant latent virus</t>
  </si>
  <si>
    <t>Squash chlorotic leaf spot virus</t>
  </si>
  <si>
    <t>Chocolate lily virus A</t>
  </si>
  <si>
    <t>Bellflower vein chlorosis virus</t>
  </si>
  <si>
    <t>Nectarine marafivirus M</t>
  </si>
  <si>
    <t>Tomato blistering mosaic tymovirus</t>
  </si>
  <si>
    <t>Lizard atadenovirus A</t>
  </si>
  <si>
    <t>Psittacine atadenovirus A</t>
  </si>
  <si>
    <t>Dolphin mastadenovirus A</t>
  </si>
  <si>
    <t>Platyrrhini mastadenovirus A</t>
  </si>
  <si>
    <t>Sea lion mastadenovirus A</t>
  </si>
  <si>
    <t>Simian mastadenovirus D</t>
  </si>
  <si>
    <t>Simian mastadenovirus E</t>
  </si>
  <si>
    <t>Simian mastadenovirus F</t>
  </si>
  <si>
    <t>Simian mastadenovirus G</t>
  </si>
  <si>
    <t>Simian mastadenovirus H</t>
  </si>
  <si>
    <t>Skunk mastadenovirus A</t>
  </si>
  <si>
    <t>Penguin siadenovirus A</t>
  </si>
  <si>
    <t>Loei River mammarenavirus</t>
  </si>
  <si>
    <t>Solwezi mammarenavirus</t>
  </si>
  <si>
    <t>Catopsilia pomona nucleopolyhedrovirus</t>
  </si>
  <si>
    <t>Choristoneura murinana nucleopolyhedrovirus</t>
  </si>
  <si>
    <t>Lambdina fiscellaria nucleopolyhedrovirus</t>
  </si>
  <si>
    <t>Lymantria xylina nucleopolyhedrovirus</t>
  </si>
  <si>
    <t>Orgyia leucostigma nucleopolyhedrovirus</t>
  </si>
  <si>
    <t>Clostera anachoreta granulovirus</t>
  </si>
  <si>
    <t>Clostera anastomosis granulovirus A</t>
  </si>
  <si>
    <t>Clostera anastomosis granulovirus B</t>
  </si>
  <si>
    <t>Diatraea saccharalis granulovirus</t>
  </si>
  <si>
    <t>Epinotia aporema granulovirus</t>
  </si>
  <si>
    <t>Spodoptera litura granulovirus</t>
  </si>
  <si>
    <t>Mulberry badnavirus 1</t>
  </si>
  <si>
    <t>Taro bacilliform CH virus</t>
  </si>
  <si>
    <t>Yacon necrotic mottle virus</t>
  </si>
  <si>
    <t>Atractylodes mild mottle virus</t>
  </si>
  <si>
    <t>Bat associated circovirus 4</t>
  </si>
  <si>
    <t>Bat associated circovirus 5</t>
  </si>
  <si>
    <t>Bat associated circovirus 6</t>
  </si>
  <si>
    <t>Bat associated circovirus 7</t>
  </si>
  <si>
    <t>Bat associated circovirus 8</t>
  </si>
  <si>
    <t>Bat associated cyclovirus 6</t>
  </si>
  <si>
    <t>Bat associated cyclovirus 7</t>
  </si>
  <si>
    <t>Bat associated cyclovirus 8</t>
  </si>
  <si>
    <t>Bat associated cyclovirus 9</t>
  </si>
  <si>
    <t>Bat associated cyclovirus 10</t>
  </si>
  <si>
    <t>Bat associated cyclovirus 11</t>
  </si>
  <si>
    <t>Bat associated cyclovirus 12</t>
  </si>
  <si>
    <t>Bat associated cyclovirus 13</t>
  </si>
  <si>
    <t>Bat associated cyclovirus 14</t>
  </si>
  <si>
    <t>Bat associated cyclovirus 15</t>
  </si>
  <si>
    <t>Bat associated cyclovirus 16</t>
  </si>
  <si>
    <t>Feline associated cyclovirus 1</t>
  </si>
  <si>
    <t>Horse associated cyclovirus 1</t>
  </si>
  <si>
    <t>Human associated cyclovirus 11</t>
  </si>
  <si>
    <t>Squirrel associated cyclovirus 1</t>
  </si>
  <si>
    <t>Rose leaf rosette-associated virus</t>
  </si>
  <si>
    <t>Tobacco virus 1</t>
  </si>
  <si>
    <t>Tetterwort vein chlorosis virus</t>
  </si>
  <si>
    <t>Persimmon virus B</t>
  </si>
  <si>
    <t>Areca palm velarivirus 1</t>
  </si>
  <si>
    <t>Cucumis melo alphaendornavirus</t>
  </si>
  <si>
    <t>Erysiphe cichoracearum alphaendornavirus</t>
  </si>
  <si>
    <t>Grapevine endophyte alphaendornavirus</t>
  </si>
  <si>
    <t>Hordeum vulgare alphaendornavirus</t>
  </si>
  <si>
    <t>Hot pepper alphaendornavirus</t>
  </si>
  <si>
    <t>Lagenaria siceraria alphaendornavirus</t>
  </si>
  <si>
    <t>Rhizoctonia cerealis alphaendornavirus 1</t>
  </si>
  <si>
    <t>Alternaria brassicicola betaendornavirus 1</t>
  </si>
  <si>
    <t>Gremmeniella abietina betaendornavirus 1</t>
  </si>
  <si>
    <t>Tuber aestivum betaendornavirus</t>
  </si>
  <si>
    <t>Hepacivirus A</t>
  </si>
  <si>
    <t>Hepacivirus B</t>
  </si>
  <si>
    <t>Hepacivirus D</t>
  </si>
  <si>
    <t>Hepacivirus E</t>
  </si>
  <si>
    <t>Hepacivirus F</t>
  </si>
  <si>
    <t>Hepacivirus G</t>
  </si>
  <si>
    <t>Hepacivirus H</t>
  </si>
  <si>
    <t>Hepacivirus I</t>
  </si>
  <si>
    <t>Hepacivirus J</t>
  </si>
  <si>
    <t>Hepacivirus K</t>
  </si>
  <si>
    <t>Hepacivirus L</t>
  </si>
  <si>
    <t>Hepacivirus M</t>
  </si>
  <si>
    <t>Hepacivirus N</t>
  </si>
  <si>
    <t>Pegivirus C</t>
  </si>
  <si>
    <t>Pegivirus D</t>
  </si>
  <si>
    <t>Pegivirus E</t>
  </si>
  <si>
    <t>Pegivirus F</t>
  </si>
  <si>
    <t>Pegivirus G</t>
  </si>
  <si>
    <t>Pegivirus H</t>
  </si>
  <si>
    <t>Pegivirus I</t>
  </si>
  <si>
    <t>Pegivirus J</t>
  </si>
  <si>
    <t>Pegivirus K</t>
  </si>
  <si>
    <t>Capulavirus</t>
  </si>
  <si>
    <t>Alfalfa leaf curl virus</t>
  </si>
  <si>
    <t>Euphorbia caput-medusae latent virus</t>
  </si>
  <si>
    <t>French bean severe leaf curl virus</t>
  </si>
  <si>
    <t>Plantago lanceolata latent virus</t>
  </si>
  <si>
    <t>Grablovirus</t>
  </si>
  <si>
    <t>Grapevine red blotch virus</t>
  </si>
  <si>
    <t>Citrus chlorotic dwarf associated virus</t>
  </si>
  <si>
    <t>Mulberry mosaic dwarf associated virus</t>
  </si>
  <si>
    <t>Blackbird associated gemycircularvirus 1</t>
  </si>
  <si>
    <t>Bovine associated gemycircularvirus 1</t>
  </si>
  <si>
    <t>Bromus associated gemycircularvirus 1</t>
  </si>
  <si>
    <t>Cassava associated gemycircularvirus 1</t>
  </si>
  <si>
    <t>Chickadee associated gemycircularvirus 1</t>
  </si>
  <si>
    <t>Chicken associated gemycircularvirus 1</t>
  </si>
  <si>
    <t>Chicken associated gemycircularvirus 2</t>
  </si>
  <si>
    <t>Dragonfly associated gemycircularvirus 1</t>
  </si>
  <si>
    <t>Equine associated gemycircularvirus 1</t>
  </si>
  <si>
    <t>Fur seal associated gemycircularvirus 1</t>
  </si>
  <si>
    <t>Gerygone associated gemycircularvirus 1</t>
  </si>
  <si>
    <t>Gerygone associated gemycircularvirus 2</t>
  </si>
  <si>
    <t>Gerygone associated gemycircularvirus 3</t>
  </si>
  <si>
    <t>Hypericum associated gemycircularvirus 1</t>
  </si>
  <si>
    <t>Lama associated gemycircularvirus 1</t>
  </si>
  <si>
    <t>Mallard associated gemycircularvirus 1</t>
  </si>
  <si>
    <t>Miniopterus associated gemycircularvirus 1</t>
  </si>
  <si>
    <t>Mongoose associated gemycircularvirus 1</t>
  </si>
  <si>
    <t>Mosquito associated gemycircularvirus 1</t>
  </si>
  <si>
    <t>Odonata associated gemycircularvirus 1</t>
  </si>
  <si>
    <t>Odonata associated gemycircularvirus 2</t>
  </si>
  <si>
    <t>Poaceae associated gemycircularvirus 1</t>
  </si>
  <si>
    <t>Porcine associated gemycircularvirus 1</t>
  </si>
  <si>
    <t>Porcine associated gemycircularvirus 2</t>
  </si>
  <si>
    <t>Pteropus associated gemycircularvirus 1</t>
  </si>
  <si>
    <t>Pteropus associated gemycircularvirus 2</t>
  </si>
  <si>
    <t>Pteropus associated gemycircularvirus 3</t>
  </si>
  <si>
    <t>Pteropus associated gemycircularvirus 4</t>
  </si>
  <si>
    <t>Pteropus associated gemycircularvirus 5</t>
  </si>
  <si>
    <t>Pteropus associated gemycircularvirus 6</t>
  </si>
  <si>
    <t>Pteropus associated gemycircularvirus 7</t>
  </si>
  <si>
    <t>Pteropus associated gemycircularvirus 8</t>
  </si>
  <si>
    <t>Pteropus associated gemycircularvirus 9</t>
  </si>
  <si>
    <t>Pteropus associated gemycircularvirus 10</t>
  </si>
  <si>
    <t>Rat associated gemycircularvirus 1</t>
  </si>
  <si>
    <t>Sewage derived gemycircularvirus 1</t>
  </si>
  <si>
    <t>Sewage derived gemycircularvirus 2</t>
  </si>
  <si>
    <t>Sewage derived gemycircularvirus 3</t>
  </si>
  <si>
    <t>Sewage derived gemycircularvirus 4</t>
  </si>
  <si>
    <t>Sewage derived gemycircularvirus 5</t>
  </si>
  <si>
    <t>Sheep associated gemycircularvirus 1</t>
  </si>
  <si>
    <t>Soybean associated gemycircularvirus 1</t>
  </si>
  <si>
    <t>Gemyduguivirus</t>
  </si>
  <si>
    <t>Dragonfly associated gemyduguivirus 1</t>
  </si>
  <si>
    <t>Gemygorvirus</t>
  </si>
  <si>
    <t>Canine associated gemygorvirus 1</t>
  </si>
  <si>
    <t>Mallard associated gemygorvirus 1</t>
  </si>
  <si>
    <t>Pteropus associated gemygorvirus 1</t>
  </si>
  <si>
    <t>Sewage derived gemygorvirus 1</t>
  </si>
  <si>
    <t>Starling associated gemygorvirus 1</t>
  </si>
  <si>
    <t>Gemykibivirus</t>
  </si>
  <si>
    <t>Badger associated gemykibivirus 1</t>
  </si>
  <si>
    <t>Black robin associated gemykibivirus 1</t>
  </si>
  <si>
    <t>Blackbird associated gemykibivirus 1</t>
  </si>
  <si>
    <t>Bovine associated gemykibivirus 1</t>
  </si>
  <si>
    <t>Dragonfly associated gemykibivirus 1</t>
  </si>
  <si>
    <t>Human associated gemykibivirus 1</t>
  </si>
  <si>
    <t>Human associated gemykibivirus 2</t>
  </si>
  <si>
    <t>Human associated gemykibivirus 3</t>
  </si>
  <si>
    <t>Human associated gemykibivirus 4</t>
  </si>
  <si>
    <t>Human associated gemykibivirus 5</t>
  </si>
  <si>
    <t>Mongoose associated gemykibivirus 1</t>
  </si>
  <si>
    <t>Pteropus associated gemykibivirus 1</t>
  </si>
  <si>
    <t>Rhinolophus associated gemykibivirus 1</t>
  </si>
  <si>
    <t>Rhinolophus associated gemykibivirus 2</t>
  </si>
  <si>
    <t>Sewage derived gemykibivirus 1</t>
  </si>
  <si>
    <t>Sewage derived gemykibivirus 2</t>
  </si>
  <si>
    <t>Gemykolovirus</t>
  </si>
  <si>
    <t>Pteropus associated gemykolovirus 1</t>
  </si>
  <si>
    <t>Pteropus associated gemykolovirus 2</t>
  </si>
  <si>
    <t>Gemykrogvirus</t>
  </si>
  <si>
    <t>Bovine associated gemykrogvirus 1</t>
  </si>
  <si>
    <t>Caribou associated gemykrogvirus 1</t>
  </si>
  <si>
    <t>Sewage derived gemykrogvirus 1</t>
  </si>
  <si>
    <t>Gemykroznavirus</t>
  </si>
  <si>
    <t>Rabbit associated gemykroznavirus 1</t>
  </si>
  <si>
    <t>Gemytondvirus</t>
  </si>
  <si>
    <t>Ostrich associated gemytondvirus 1</t>
  </si>
  <si>
    <t>Gemyvongvirus</t>
  </si>
  <si>
    <t>Human associated gemyvongvirus 1</t>
  </si>
  <si>
    <t>Parrot hepatitis B virus</t>
  </si>
  <si>
    <t>Pomona bat hepatitis B virus</t>
  </si>
  <si>
    <t>White sucker hepatitis B virus</t>
  </si>
  <si>
    <t>Vibrio virus VGJ</t>
  </si>
  <si>
    <t>Habenivirus</t>
  </si>
  <si>
    <t>Ralstonia virus RS603</t>
  </si>
  <si>
    <t>Ralstonia virus RSM1</t>
  </si>
  <si>
    <t>Ralstonia virus RSM3</t>
  </si>
  <si>
    <t>Vibrio virus VFJ</t>
  </si>
  <si>
    <t>Propionibacterium virus B5</t>
  </si>
  <si>
    <t>Ralstonia virus PE226</t>
  </si>
  <si>
    <t>Ralstonia virus RSS1</t>
  </si>
  <si>
    <t>Spiroplasma virus SVTS2</t>
  </si>
  <si>
    <t>Stenotrophomonas virus PSH1</t>
  </si>
  <si>
    <t>Stenotrophomonas virus SMA6</t>
  </si>
  <si>
    <t>Stenotrophomonas virus SMA7</t>
  </si>
  <si>
    <t>Stenotrophomonas virus SMA9</t>
  </si>
  <si>
    <t>Vibrio virus KSF1</t>
  </si>
  <si>
    <t>Vibrio virus VCY</t>
  </si>
  <si>
    <t>Vibrio virus VfO3K6</t>
  </si>
  <si>
    <t>Spiroplasma virus SkV1CR23x</t>
  </si>
  <si>
    <t>Singapore grouper iridovirus</t>
  </si>
  <si>
    <t>Alfalfa enamovirus 1</t>
  </si>
  <si>
    <t>Influenza D virus</t>
  </si>
  <si>
    <t>Asteroid ambidensovirus 1</t>
  </si>
  <si>
    <t>Decapod ambidensovirus 1</t>
  </si>
  <si>
    <t>Hemipteran ambidensovirus 2</t>
  </si>
  <si>
    <t>Hemipteran ambidensovirus 3</t>
  </si>
  <si>
    <t>Hymenopteran ambidensovirus 1</t>
  </si>
  <si>
    <t>Orthopteran densovirus 1</t>
  </si>
  <si>
    <t>Rattus norvegicus polyomavirus 1</t>
  </si>
  <si>
    <t>Microtus arvalis polyomavirus 1</t>
  </si>
  <si>
    <t>Myodes glareolus polyomavirus 1</t>
  </si>
  <si>
    <t>Pan troglodytes polyomavirus 8</t>
  </si>
  <si>
    <t>Broad-leafed dock virus A</t>
  </si>
  <si>
    <t>Yam chlorotic mosaic virus</t>
  </si>
  <si>
    <t>Jasmine virus T</t>
  </si>
  <si>
    <t>Lettuce Italian necrotic virus</t>
  </si>
  <si>
    <t>Zucchini shoestring virus</t>
  </si>
  <si>
    <t>Centapoxvirus</t>
  </si>
  <si>
    <t>Yokapox virus</t>
  </si>
  <si>
    <t>Pteropox virus</t>
  </si>
  <si>
    <t>Rotavirus I</t>
  </si>
  <si>
    <t>Koala retrovirus</t>
  </si>
  <si>
    <t>Jembrana disease virus</t>
  </si>
  <si>
    <t>Solinviviridae</t>
  </si>
  <si>
    <t>Invictavirus</t>
  </si>
  <si>
    <t>Solenopsis invicta virus 3</t>
  </si>
  <si>
    <t>Nyfulvavirus</t>
  </si>
  <si>
    <t>Nylanderia fulva virus 1</t>
  </si>
  <si>
    <t>Haloarcula virus HCIV1</t>
  </si>
  <si>
    <t>Tolecusatellitidae</t>
  </si>
  <si>
    <t>Betasatellite</t>
  </si>
  <si>
    <t>Ageratum leaf curl Buea betasatellite</t>
  </si>
  <si>
    <t>Ageratum leaf curl Cameroon betasatellite</t>
  </si>
  <si>
    <t>Ageratum yellow leaf curl betasatellite</t>
  </si>
  <si>
    <t>Ageratum yellow vein betasatellite</t>
  </si>
  <si>
    <t>Ageratum yellow vein India betasatellite</t>
  </si>
  <si>
    <t>Ageratum yellow vein Sri Lanka betasatellite</t>
  </si>
  <si>
    <t>Alternanthera yellow vein betasatellite</t>
  </si>
  <si>
    <t>Andrographis yellow vein leaf curl betasatellite</t>
  </si>
  <si>
    <t>Bhendi yellow vein mosaic betasatellite</t>
  </si>
  <si>
    <t>Cardiospermum yellow leaf curl betasatellite</t>
  </si>
  <si>
    <t>Chili leaf curl betasatellite</t>
  </si>
  <si>
    <t>Chili leaf curl Jaunpur betasatellite</t>
  </si>
  <si>
    <t>Chili leaf curl Sri Lanka betasatellite</t>
  </si>
  <si>
    <t>Cotton leaf curl Gezira betasatellite</t>
  </si>
  <si>
    <t>Cotton leaf curl Multan betasatellite</t>
  </si>
  <si>
    <t>Croton yellow vein mosaic betasatellite</t>
  </si>
  <si>
    <t>Eupatorium yellow vein betasatellite</t>
  </si>
  <si>
    <t>Eupatorium yellow vein mosaic betasatellite</t>
  </si>
  <si>
    <t>French bean leaf curl betasatellite</t>
  </si>
  <si>
    <t>Hedyotis yellow mosaic betasatellite</t>
  </si>
  <si>
    <t>Honeysuckle yellow vein betasatellite</t>
  </si>
  <si>
    <t>Honeysuckle yellow vein mosaic betasatellite</t>
  </si>
  <si>
    <t>Malvastrum leaf curl betasatellite</t>
  </si>
  <si>
    <t>Malvastrum leaf curl Guangdong betasatellite</t>
  </si>
  <si>
    <t>Mirabilis leaf curl betasatellite</t>
  </si>
  <si>
    <t>Momordica yellow mosaic betasatellite</t>
  </si>
  <si>
    <t>Mungbean yellow mosaic betasatellite</t>
  </si>
  <si>
    <t>Okra leaf curl Oman betasatellite</t>
  </si>
  <si>
    <t>Papaya leaf curl betasatellite</t>
  </si>
  <si>
    <t>Papaya leaf curl China betasatellite</t>
  </si>
  <si>
    <t>Papaya leaf curl India betasatellite</t>
  </si>
  <si>
    <t>Rhynchosia yellow mosaic betasatellite</t>
  </si>
  <si>
    <t>Rose leaf curl betasatellite</t>
  </si>
  <si>
    <t>Siegesbeckia yellow vein betasatellite</t>
  </si>
  <si>
    <t>Tobacco curly shoot betasatellite</t>
  </si>
  <si>
    <t>Tobacco leaf curl betasatellite</t>
  </si>
  <si>
    <t>Tobacco leaf curl Japan betasatellite</t>
  </si>
  <si>
    <t>Tobacco leaf curl Patna betasatellite</t>
  </si>
  <si>
    <t>Tomato leaf curl Bangalore betasatellite</t>
  </si>
  <si>
    <t>Tomato leaf curl Bangladesh betasatellite</t>
  </si>
  <si>
    <t>Tomato leaf curl betasatellite</t>
  </si>
  <si>
    <t>Tomato leaf curl China betasatellite</t>
  </si>
  <si>
    <t>Tomato leaf curl Gandhinagar betasatellite</t>
  </si>
  <si>
    <t>Tomato leaf curl Joydebpur betasatellite</t>
  </si>
  <si>
    <t>Tomato leaf curl Laguna betasatellite</t>
  </si>
  <si>
    <t>Tomato leaf curl Laos betasatellite</t>
  </si>
  <si>
    <t>Tomato leaf curl Malaysia betasatellite</t>
  </si>
  <si>
    <t>Tomato leaf curl Nepal betasatellite</t>
  </si>
  <si>
    <t>Tomato leaf curl Patna betasatellite</t>
  </si>
  <si>
    <t>Tomato leaf curl Philippine betasatellite</t>
  </si>
  <si>
    <t>Tomato leaf curl Sri Lanka betasatellite</t>
  </si>
  <si>
    <t>Tomato leaf curl Yemen betasatellite</t>
  </si>
  <si>
    <t>Tomato yellow leaf curl China betasatellite</t>
  </si>
  <si>
    <t>Tomato yellow leaf curl Rajasthan betasatellite</t>
  </si>
  <si>
    <t>Tomato yellow leaf curl Shandong betasatellite</t>
  </si>
  <si>
    <t>Tomato yellow leaf curl Thailand betasatellite</t>
  </si>
  <si>
    <t>Tomato yellow leaf curl Vietnam betasatellite</t>
  </si>
  <si>
    <t>Tomato yellow leaf curl Yunnan betasatellite</t>
  </si>
  <si>
    <t>Vernonia yellow vein betasatellite</t>
  </si>
  <si>
    <t>Vernonia yellow vein Fujian betasatellite</t>
  </si>
  <si>
    <t>Deltasatellite</t>
  </si>
  <si>
    <t>Croton yellow vein deltasatellite</t>
  </si>
  <si>
    <t>Malvastrum leaf curl deltasatellite</t>
  </si>
  <si>
    <t>Sida golden yellow vein deltasatellite 1</t>
  </si>
  <si>
    <t>Sida golden yellow vein deltasatellite 2</t>
  </si>
  <si>
    <t>Sida golden yellow vein deltasatellite 3</t>
  </si>
  <si>
    <t>Sweet potato leaf curl deltasatellite 1</t>
  </si>
  <si>
    <t>Sweet potato leaf curl deltasatellite 2</t>
  </si>
  <si>
    <t>Sweet potato leaf curl deltasatellite 3</t>
  </si>
  <si>
    <t>Tomato leaf curl deltasatellite</t>
  </si>
  <si>
    <t>Tomato yellow leaf distortion deltasatellite 1</t>
  </si>
  <si>
    <t>Tomato yellow leaf distortion deltasatellite 2</t>
  </si>
  <si>
    <t>Ethiopian tobacco bushy top virus</t>
  </si>
  <si>
    <t>Opium poppy mosaic virus</t>
  </si>
  <si>
    <t>Pyrobaculum filamentous virus 1</t>
  </si>
  <si>
    <t>Blunervirus</t>
  </si>
  <si>
    <t>Blueberry necrotic ring blotch virus</t>
  </si>
  <si>
    <t>Citrus leprosis virus C2</t>
  </si>
  <si>
    <t>Tilapinevirus</t>
  </si>
  <si>
    <t>Tilapia tilapinevirus</t>
  </si>
  <si>
    <t>Colombian potato soil-borne virus</t>
  </si>
  <si>
    <t>Plumeria mosaic virus</t>
  </si>
  <si>
    <t>Tomato brown rugose fruit virus</t>
  </si>
  <si>
    <t>Campylobacter virus CP21</t>
  </si>
  <si>
    <t>New,</t>
  </si>
  <si>
    <t>Renamed,Moved,</t>
  </si>
  <si>
    <t>Moved,</t>
  </si>
  <si>
    <t>Renamed,</t>
  </si>
  <si>
    <t>Merged,Moved,</t>
  </si>
  <si>
    <t>New,Assigned as Type Species,</t>
  </si>
  <si>
    <t>Moved,Assigned as Type Species,</t>
  </si>
  <si>
    <t>Renamed,Moved,Assigned as Type Species,</t>
  </si>
  <si>
    <t>Merged,Renamed,Moved,Assigned as Type Species,</t>
  </si>
  <si>
    <t>Merged,</t>
  </si>
  <si>
    <t>Merged,Moved,Assigned as Type Species,</t>
  </si>
  <si>
    <t>Split,Moved,</t>
  </si>
  <si>
    <t>Merged,Renamed,</t>
  </si>
  <si>
    <t>Merged,Assigned as Type Species,</t>
  </si>
  <si>
    <t>NULL</t>
  </si>
  <si>
    <t>Mannheimia virus PHL101</t>
  </si>
  <si>
    <t>Lactobacillus virus Lb338-1</t>
  </si>
  <si>
    <t>Escherichia virus CC31</t>
  </si>
  <si>
    <t>Salmonella virus L13</t>
  </si>
  <si>
    <t>Salmonella virus LSPA1</t>
  </si>
  <si>
    <t>Mycobacterium virus Fionnbarth</t>
  </si>
  <si>
    <t>Salmon aquaparamyxovirus</t>
  </si>
  <si>
    <t>Avian avulavirus 1</t>
  </si>
  <si>
    <t>Avian avulavirus 2</t>
  </si>
  <si>
    <t>Avian avulavirus 3</t>
  </si>
  <si>
    <t>Avian avulavirus 4</t>
  </si>
  <si>
    <t>Avian avulavirus 5</t>
  </si>
  <si>
    <t>Avian avulavirus 6</t>
  </si>
  <si>
    <t>Avian avulavirus 7</t>
  </si>
  <si>
    <t>Avian avulavirus 8</t>
  </si>
  <si>
    <t>Avian avulavirus 9</t>
  </si>
  <si>
    <t>Avian avulavirus 10</t>
  </si>
  <si>
    <t>Avian avulavirus 11</t>
  </si>
  <si>
    <t>Avian avulavirus 12</t>
  </si>
  <si>
    <t>Reptilian ferlavirus</t>
  </si>
  <si>
    <t>Hendra henipavirus</t>
  </si>
  <si>
    <t>Nipah henipavirus</t>
  </si>
  <si>
    <t>Canine morbillivirus</t>
  </si>
  <si>
    <t>Measles morbillivirus</t>
  </si>
  <si>
    <t>Phocine morbillivirus</t>
  </si>
  <si>
    <t>Rinderpest morbillivirus</t>
  </si>
  <si>
    <t>Small ruminant morbillivirus</t>
  </si>
  <si>
    <t>Bovine respirovirus 3</t>
  </si>
  <si>
    <t>Human respirovirus 1</t>
  </si>
  <si>
    <t>Human respirovirus 3</t>
  </si>
  <si>
    <t>Murine respirovirus</t>
  </si>
  <si>
    <t>Porcine respirovirus 1</t>
  </si>
  <si>
    <t>Human rubulavirus 2</t>
  </si>
  <si>
    <t>Human rubulavirus 4</t>
  </si>
  <si>
    <t>Mammalian rubulavirus 5</t>
  </si>
  <si>
    <t>Mapuera rubulavirus</t>
  </si>
  <si>
    <t>Mumps rubulavirus</t>
  </si>
  <si>
    <t>Simian rubulavirus</t>
  </si>
  <si>
    <t>Bovine orthopneumovirus</t>
  </si>
  <si>
    <t>Human orthopneumovirus</t>
  </si>
  <si>
    <t>Murine orthopneumovirus</t>
  </si>
  <si>
    <t>Piscine novirhabdovirus</t>
  </si>
  <si>
    <t>Salmonid novirhabdovirus</t>
  </si>
  <si>
    <t>Diadromus pulchellus toursvirus</t>
  </si>
  <si>
    <t>Bat associated circovirus 1</t>
  </si>
  <si>
    <t>Bat associated circovirus 2</t>
  </si>
  <si>
    <t>Bat associated circovirus 3</t>
  </si>
  <si>
    <t>Chimpanzee associated circovirus 1</t>
  </si>
  <si>
    <t>Human associated circovirus 1</t>
  </si>
  <si>
    <t>Bat associated cyclovirus 1</t>
  </si>
  <si>
    <t>Bat associated cyclovirus 2</t>
  </si>
  <si>
    <t>Bat associated cyclovirus 3</t>
  </si>
  <si>
    <t>Bat associated cyclovirus 4</t>
  </si>
  <si>
    <t>Bat associated cyclovirus 5</t>
  </si>
  <si>
    <t>Bovine associated cyclovirus 1</t>
  </si>
  <si>
    <t>Chicken associated cyclovirus 1</t>
  </si>
  <si>
    <t>Chimpanzee associated cyclovirus 1</t>
  </si>
  <si>
    <t>Cockroach associated cyclovirus 1</t>
  </si>
  <si>
    <t>Dragonfly associated cyclovirus 1</t>
  </si>
  <si>
    <t>Dragonfly associated cyclovirus 2</t>
  </si>
  <si>
    <t>Dragonfly associated cyclovirus 3</t>
  </si>
  <si>
    <t>Dragonfly associated cyclovirus 4</t>
  </si>
  <si>
    <t>Dragonfly associated cyclovirus 5</t>
  </si>
  <si>
    <t>Dragonfly associated cyclovirus 6</t>
  </si>
  <si>
    <t>Dragonfly associated cyclovirus 7</t>
  </si>
  <si>
    <t>Dragonfly associated cyclovirus 8</t>
  </si>
  <si>
    <t>Goat associated cyclovirus 1</t>
  </si>
  <si>
    <t>Human associated cyclovirus 1</t>
  </si>
  <si>
    <t>Human associated cyclovirus 2</t>
  </si>
  <si>
    <t>Human associated cyclovirus 3</t>
  </si>
  <si>
    <t>Human associated cyclovirus 4</t>
  </si>
  <si>
    <t>Human associated cyclovirus 5</t>
  </si>
  <si>
    <t>Human associated cyclovirus 6</t>
  </si>
  <si>
    <t>Human associated cyclovirus 7</t>
  </si>
  <si>
    <t>Human associated cyclovirus 8</t>
  </si>
  <si>
    <t>Human associated cyclovirus 9</t>
  </si>
  <si>
    <t>Human associated cyclovirus 10</t>
  </si>
  <si>
    <t>Hepacivirus C</t>
  </si>
  <si>
    <t>Haloarcula virus HHPV1</t>
  </si>
  <si>
    <t>dsDNA; ssDNA</t>
  </si>
  <si>
    <t>Haloarcula virus HHPV2</t>
  </si>
  <si>
    <t>Halorubrum virus HRPV1</t>
  </si>
  <si>
    <t>Halorubrum virus HRPV2</t>
  </si>
  <si>
    <t>Halorubrum virus HRPV6</t>
  </si>
  <si>
    <t>Halogeometricum virus HGPV1</t>
  </si>
  <si>
    <t>Halorubrum virus HRPV3</t>
  </si>
  <si>
    <t>ICTV 2017 Master Species List (MSL32)</t>
  </si>
  <si>
    <t>New MSL including all taxa updates since the 2016 release</t>
  </si>
  <si>
    <t>2016.021a-dM.A.v2.Orthoferavirus.pdf</t>
  </si>
  <si>
    <t>2016.016aP.A.v3.Emaravirus_sp.pdf</t>
  </si>
  <si>
    <t>2016.030a-vM.A.v6.Bunyavirales.pdf</t>
  </si>
  <si>
    <t>2016.017aP.A.v3.Emaravirus_sp.pdf</t>
  </si>
  <si>
    <t>2016.018aP.A.v4.Emaravirus_sp.pdf</t>
  </si>
  <si>
    <t>2016.023a-cM.A.v2.Hantavirus_sprev.pdf</t>
  </si>
  <si>
    <t>Jonchet orthojonvirus</t>
  </si>
  <si>
    <t>2016.025a-dM.A.v2.Orthojonvirus.pdf</t>
  </si>
  <si>
    <t>Artashat orthonairovirus</t>
  </si>
  <si>
    <t>2017.008M.A.v1.Orthonairovirus_2sp1ren.zip</t>
  </si>
  <si>
    <t>Chim orthonairovirus</t>
  </si>
  <si>
    <t>2016.026a,bM.A.v3.Nairovirus_5sp.pdf</t>
  </si>
  <si>
    <t>Tamdy orthonairovirus</t>
  </si>
  <si>
    <t>2016.024a-dM.A.v2.Herbevirus.pdf</t>
  </si>
  <si>
    <t>Wolkberg orthobunyavirus</t>
  </si>
  <si>
    <t>2017.007M.A.v1.Orthobunyavirus_sp.zip</t>
  </si>
  <si>
    <t>2016.028a-dM.A.v3.Orthophasmavirus.pdf</t>
  </si>
  <si>
    <t>2016.022a-dM.A.v2.Goukovirus.pdf</t>
  </si>
  <si>
    <t>2016.027a-dM.A.v2.Phasivirus.pdf</t>
  </si>
  <si>
    <t>Ackermannviridae</t>
  </si>
  <si>
    <t>Aglimvirinae</t>
  </si>
  <si>
    <t>Ag3virus</t>
  </si>
  <si>
    <t>Salmonella virus SKML39</t>
  </si>
  <si>
    <t>2017.001B.A.v3.Ackermannviridae.zip</t>
  </si>
  <si>
    <t>Limestonevirus</t>
  </si>
  <si>
    <t>Dickeya virus RC2014</t>
  </si>
  <si>
    <t>Cvivirinae</t>
  </si>
  <si>
    <t>Cba120virus</t>
  </si>
  <si>
    <t>Salmonella virus 38</t>
  </si>
  <si>
    <t>Salmonella virus GG32</t>
  </si>
  <si>
    <t>Salmonella virus PM10</t>
  </si>
  <si>
    <t>Erwinia virus Ea2809</t>
  </si>
  <si>
    <t>Klebsiella virus 0507KN21</t>
  </si>
  <si>
    <t>Serratia virus IME250</t>
  </si>
  <si>
    <t>Serratia virus MAM1</t>
  </si>
  <si>
    <t>2015.025aB.A.v4.phagesp_ren.pdf</t>
  </si>
  <si>
    <t>2016.069a-wB.A.v5.Caudovirales_38sp.pdf</t>
  </si>
  <si>
    <t>2016.031a-rB.A.v2.Ounavirinae.pdf</t>
  </si>
  <si>
    <t>2016.076aB.A.v2.1genus13sp_ren.pdf</t>
  </si>
  <si>
    <t>2015.005a-gB.A.v3.Kayvirus.pdf</t>
  </si>
  <si>
    <t>2015.012a-dB.A.v2.P100virus.pdf</t>
  </si>
  <si>
    <t>2015.018a-dB.A.v2.Silviavirus.pdf</t>
  </si>
  <si>
    <t>2016.051a-dB.A.v1.Tsarbombavirus.pdf</t>
  </si>
  <si>
    <t>2015.020a-aeB.A.v4.Tevenvirinae.pdf</t>
  </si>
  <si>
    <t>2016.071a-dB.A.v1.Jd18virus.pdf</t>
  </si>
  <si>
    <t>2016.022a-dB.A.v1.Kp15virus.pdf</t>
  </si>
  <si>
    <t>2016.029a-dB.A.v1.Moonvirus.pdf</t>
  </si>
  <si>
    <t>2015.052aB.A.v3.Schizot4virus_sp.pdf</t>
  </si>
  <si>
    <t>2015.023a-oB.A.v2.Vequintavirinae.pdf</t>
  </si>
  <si>
    <t>2016.002a-dB.A.v1.Abouovirus.pdf</t>
  </si>
  <si>
    <t>2015.032a-dB.A.v2.Agatevirus.pdf</t>
  </si>
  <si>
    <t>2016.066a-dB.A.v1.Agrican357virus.pdf</t>
  </si>
  <si>
    <t>2015.043a-dB.A.v2.Ap22virus.pdf</t>
  </si>
  <si>
    <t>2016.004a-dB.A.v1.Arv1virus.pdf</t>
  </si>
  <si>
    <t>2015.033a-dB.A.v2.B4virus.pdf</t>
  </si>
  <si>
    <t>2015.034a-dB.A.v2.Bastillevirus.pdf</t>
  </si>
  <si>
    <t>2015.035a-dB.A.v2.Bc431virus.pdf</t>
  </si>
  <si>
    <t>2016.008aB.A.v3.Bxz1virus_6sp.pdf</t>
  </si>
  <si>
    <t>2015.036a-dBA.v2.Cp51virus.pdf</t>
  </si>
  <si>
    <t>2015.049a-dB.A.v2.Cvm10virus.pdf</t>
  </si>
  <si>
    <t>Eah2virus</t>
  </si>
  <si>
    <t>Erwinia virus Asesino</t>
  </si>
  <si>
    <t>2017.021B.A.v1.Eah2virus.zip</t>
  </si>
  <si>
    <t>Erwinia virus EaH2</t>
  </si>
  <si>
    <t>2016.038a-gB.A.v1.Elvirus.pdf</t>
  </si>
  <si>
    <t>2016.019a-dB.A.v1.Jimmervirus.pdf</t>
  </si>
  <si>
    <t>2015.028a-dB.A.v2.Kpp10virus.pdf</t>
  </si>
  <si>
    <t>2016.025a-dB.A.v1.M12virus.pdf</t>
  </si>
  <si>
    <t>Machinavirus</t>
  </si>
  <si>
    <t>Erwinia virus Machina</t>
  </si>
  <si>
    <t>2017.024B.A.v1.Machinavirus.zip</t>
  </si>
  <si>
    <t>2016.026a-dB.A.v1.Marthavirus.pdf</t>
  </si>
  <si>
    <t>2016.030a-dB.A.v1.Msw3virus.pdf</t>
  </si>
  <si>
    <t>2015.038a-dB.A.v3.Nit1virus.pdf</t>
  </si>
  <si>
    <t>2015.029a-dB.A.v2.Pakpunavirus.pdf</t>
  </si>
  <si>
    <t>2015.030aB.A.v3.Pbunalikevirus_5sp.pdf</t>
  </si>
  <si>
    <t>2015.045a-dB.A.v2.Rheph4virus.pdf</t>
  </si>
  <si>
    <t>2016.042a-dB.A.v1.Rsl2virus.pdf</t>
  </si>
  <si>
    <t>2016.043a-dB.A.v1.Rslunavirus.pdf</t>
  </si>
  <si>
    <t>2015.016a-dB.A.v3.Secunda5virus.pdf</t>
  </si>
  <si>
    <t>2016.060a-dB.A.v1.Sep1virus.pdf</t>
  </si>
  <si>
    <t>2016.047a-dB.A.v2.Spn3virus.pdf</t>
  </si>
  <si>
    <t>Svunavirus</t>
  </si>
  <si>
    <t>Bacillus virus 1</t>
  </si>
  <si>
    <t>2017.019B.A.v1.Svunavirus.zip</t>
  </si>
  <si>
    <t>Geobacillus virus GBSV1</t>
  </si>
  <si>
    <t>2015.022a-dB.A.v2.Tg1virus.pdf</t>
  </si>
  <si>
    <t>2015.024a-dB.A.v2.Vhmlvirus.pdf</t>
  </si>
  <si>
    <t>2016.055aB.A.v1.Wphvirus_3sp.pdf</t>
  </si>
  <si>
    <t>2015.041a-dB.A.v2.Wphvirus.pdf</t>
  </si>
  <si>
    <t>2016.013a-dB.A.v1.Fri1virus.pdf</t>
  </si>
  <si>
    <t>2016.023a-dB.A.v1.Kp32virus.pdf</t>
  </si>
  <si>
    <t>2015.007a-dB.A.v1.Kp34virus.pdf</t>
  </si>
  <si>
    <t>2016.079a-dB.A.v1.Pradovirus.pdf</t>
  </si>
  <si>
    <t>2016.009a-fB.A.v1Cp1virus.pdf</t>
  </si>
  <si>
    <t>2016.045a-oB.A.v1.Sepvirinae.pdf</t>
  </si>
  <si>
    <t>2015.001a-dB.A.v2.Cba41virus.pdf</t>
  </si>
  <si>
    <t>Dfl12virus</t>
  </si>
  <si>
    <t>Dinoroseobacter virus DFL12</t>
  </si>
  <si>
    <t>2017.017B.A.v1.Dfl12virus.zip</t>
  </si>
  <si>
    <t>2016.078a-dB.A.v1.Ea92virus.pdf</t>
  </si>
  <si>
    <t>2016.068aB.A.v2.Epsilon15virus_sp.pdf</t>
  </si>
  <si>
    <t>2015.050a-dB.A.v2.G7cvirus.pdf</t>
  </si>
  <si>
    <t>Jwalphavirus</t>
  </si>
  <si>
    <t>Achromobacter virus Axp3</t>
  </si>
  <si>
    <t>2017.022B.A.v2.Jwalphavirus.zip</t>
  </si>
  <si>
    <t>Achromobacter virus JWAlpha</t>
  </si>
  <si>
    <t>2016.021a-dB.A.v2.Kf1virus.pdf</t>
  </si>
  <si>
    <t>2016.057a-dB.A.v1.Kpp25virus.pdf</t>
  </si>
  <si>
    <t>2015.008a-dB.A.v3.Lit1virus.pdf</t>
  </si>
  <si>
    <t>2015.009aB.A.v3.Luz24virus_5sp.pdf</t>
  </si>
  <si>
    <t>2016.024a-dB.A.v2.Luz7virus.pdf</t>
  </si>
  <si>
    <t>2015.010a-dB.A.v2.Nonanavirus.pdf</t>
  </si>
  <si>
    <t>Salmonella virus BTP1</t>
  </si>
  <si>
    <t>2017.023B.A.v1.P22virus_sp.zip</t>
  </si>
  <si>
    <t>2015.039a-dB.A.v2.Pagevirus.pdf</t>
  </si>
  <si>
    <t>2015.014aB.A.v3.Phieco32virus_4sp.pdf</t>
  </si>
  <si>
    <t>2016.039a-dB.A.v2.Prtbvirus.pdf</t>
  </si>
  <si>
    <t>Sp58virus</t>
  </si>
  <si>
    <t>Escherichia virus Pollock</t>
  </si>
  <si>
    <t>2017.018B.A.v1.Sp58virus.zip</t>
  </si>
  <si>
    <t>Salmonella virus FSL SP-058</t>
  </si>
  <si>
    <t>Salmonella virus FSL SP-076</t>
  </si>
  <si>
    <t>2016.081a-dB.A.v1.Una961virus.pdf</t>
  </si>
  <si>
    <t>2015.031a-dB.A.v1.Vp5virus.pdf</t>
  </si>
  <si>
    <t>2016.077a-pB.A.v4.Arquatrovirinae.pdf</t>
  </si>
  <si>
    <t>2016.005a-yB.A.v2.Bclasvirinae.pdf</t>
  </si>
  <si>
    <t>Chebruvirinae</t>
  </si>
  <si>
    <t>Brujitavirus</t>
  </si>
  <si>
    <t>2017.004B.A.v1.Chebruvirinae.zip</t>
  </si>
  <si>
    <t>Mycobacterium virus Sbash</t>
  </si>
  <si>
    <t>Dclasvirinae</t>
  </si>
  <si>
    <t>Hawkeyevirus</t>
  </si>
  <si>
    <t>Mycobacterium virus Hawkeye</t>
  </si>
  <si>
    <t>2017.007B.A.v1.Dclasvirinae.zip</t>
  </si>
  <si>
    <t>Plotvirus</t>
  </si>
  <si>
    <t>Mycobacterium virus Plot</t>
  </si>
  <si>
    <t>2015.044a-nB.A.v1.Guernseyvirinae.pdf</t>
  </si>
  <si>
    <t>2015.006aB.A.v2.Phage_Genera_ren.pdf</t>
  </si>
  <si>
    <t>Mccleskeyvirinae</t>
  </si>
  <si>
    <t>Lmd1virus</t>
  </si>
  <si>
    <t>Leuconostoc virus Lmd1</t>
  </si>
  <si>
    <t>2017.009B.A.v1.Mccleskeyvirinae.zip</t>
  </si>
  <si>
    <t>Leuconostoc virus LN03</t>
  </si>
  <si>
    <t>Leuconostoc virus LN04</t>
  </si>
  <si>
    <t>Leuconostoc virus LN12</t>
  </si>
  <si>
    <t>Leuconostoc virus LN6B</t>
  </si>
  <si>
    <t>Leuconostoc virus P793</t>
  </si>
  <si>
    <t>Una4virus</t>
  </si>
  <si>
    <t>Leuconostoc virus 1A4</t>
  </si>
  <si>
    <t>Leuconostoc virus Ln8</t>
  </si>
  <si>
    <t>Leuconostoc virus Ln9</t>
  </si>
  <si>
    <t>Leuconostoc virus LN25</t>
  </si>
  <si>
    <t>Leuconostoc virus LN34</t>
  </si>
  <si>
    <t>Leuconostoc virus LNTR3</t>
  </si>
  <si>
    <t>2016.028a-jB.A.v2.Mclasvirinae.pdf</t>
  </si>
  <si>
    <t>Nclasvirinae</t>
  </si>
  <si>
    <t>Buttersvirus</t>
  </si>
  <si>
    <t>Mycobacterium virus Butters</t>
  </si>
  <si>
    <t>2017.010B.A.v2.Nclasvirinae.zip</t>
  </si>
  <si>
    <t>Mycobacterium virus Michelle</t>
  </si>
  <si>
    <t>Mycobacterium virus Pipsqueaks</t>
  </si>
  <si>
    <t>Mycobacterium virus Xeno</t>
  </si>
  <si>
    <t>Redivirus</t>
  </si>
  <si>
    <t>Mycobacterium virus Panchino</t>
  </si>
  <si>
    <t>Mycobacterium virus Phrann</t>
  </si>
  <si>
    <t>Mycobacterium virus Skinnyp</t>
  </si>
  <si>
    <t>Nymbaxtervirinae</t>
  </si>
  <si>
    <t>Baxtervirus</t>
  </si>
  <si>
    <t>Gordonia virus BaxterFox</t>
  </si>
  <si>
    <t>2017.011B.A.v1.Nymbaxtervirinae.zip</t>
  </si>
  <si>
    <t>Gordonia virus Yeezy</t>
  </si>
  <si>
    <t>Nymphadoravirus</t>
  </si>
  <si>
    <t>Gordonia virus Kita</t>
  </si>
  <si>
    <t>Gordonia virus Zirinka</t>
  </si>
  <si>
    <t>Gorrdonia virus Nymphadora</t>
  </si>
  <si>
    <t>2016.037a-mB.A.v1.Pclasvirinae.pdf</t>
  </si>
  <si>
    <t>2015.019a-abB.A.v3.Tunavirinae.pdf</t>
  </si>
  <si>
    <t>2016.001a-dB.A.v1.Ab18virus.pdf</t>
  </si>
  <si>
    <t>2016.003a-dB.A.v1.Amigovirus.pdf</t>
  </si>
  <si>
    <t>Anatolevirus</t>
  </si>
  <si>
    <t>Propionibacterium virus Anatole</t>
  </si>
  <si>
    <t>2017.003B.A.v1.Anetolevirus.zip</t>
  </si>
  <si>
    <t>Propionibacterium virus B3</t>
  </si>
  <si>
    <t>Attisvirus</t>
  </si>
  <si>
    <t>Gordonia virus Attis</t>
  </si>
  <si>
    <t>2017.005B.A.v1.Attisvirus.zip</t>
  </si>
  <si>
    <t>2016.007a-dB.A.v1.Bernal13virus.pdf</t>
  </si>
  <si>
    <t>2015.002a-dB.A.v2.Cba181virus.pdf</t>
  </si>
  <si>
    <t>2015.003a-dB.A.v2.Cbastvirus.pdf</t>
  </si>
  <si>
    <t>2016.056a-dB.A.v1.Cronusvirus.pdf</t>
  </si>
  <si>
    <t>2016.010a-dB.A.v1.Decurrovirus.pdf</t>
  </si>
  <si>
    <t>2016.011a-dB.A.v1.Demosthenesvirus.pdf</t>
  </si>
  <si>
    <t>Doucettevirus</t>
  </si>
  <si>
    <t>Propionibacterium virus B22</t>
  </si>
  <si>
    <t>2017.006B.A.v1.Doucettevirus.zip</t>
  </si>
  <si>
    <t>Propionibacterium virus Doucette</t>
  </si>
  <si>
    <t>Propionibacterium virus E6</t>
  </si>
  <si>
    <t>Propionibacterium virus G4</t>
  </si>
  <si>
    <t>2016.012a-dB.A.v1.Eiauvirus.pdf</t>
  </si>
  <si>
    <t>2015.004a-dB.A.v2.Ff47virus.pdf</t>
  </si>
  <si>
    <t>2016.014a-dB.A.v1.Gaiavirus.pdf</t>
  </si>
  <si>
    <t>2016.015a-dB.A.v1.Gilesvirus.pdf</t>
  </si>
  <si>
    <t>2016.070a-dB.A.v1.Gordonvirus.pdf</t>
  </si>
  <si>
    <t>2016.016a-dB.A.v1.Gordtnkvirus.pdf</t>
  </si>
  <si>
    <t>2016.017a-dB.A.v1.Harrisonvirus.pdf</t>
  </si>
  <si>
    <t>Hk97virus</t>
  </si>
  <si>
    <t>2017.008B.A.v1.Hk97virus.zip</t>
  </si>
  <si>
    <t>Escherichia virus HK75</t>
  </si>
  <si>
    <t>Escherichia virus HK106</t>
  </si>
  <si>
    <t>Escherichia virus HK446</t>
  </si>
  <si>
    <t>Escherichia virus HK542</t>
  </si>
  <si>
    <t>Escherichia virus HK544</t>
  </si>
  <si>
    <t>Escherichia virus HK633</t>
  </si>
  <si>
    <t>Escherichia virus mEp234</t>
  </si>
  <si>
    <t>Escherichia virus mEpX1</t>
  </si>
  <si>
    <t>Escherichia virus mEpX2</t>
  </si>
  <si>
    <t>2016.018a-dB.A.v1.Jenstvirus.pdf</t>
  </si>
  <si>
    <t>2016.020a-dB.A.v1.Jwxvirus.pdf</t>
  </si>
  <si>
    <t>2016.072a-dB.A.v1.Kelleziovirus.pdf</t>
  </si>
  <si>
    <t>2016.006a-dB.A.v2.Korravirus.pdf</t>
  </si>
  <si>
    <t>Escherichia virus DE3</t>
  </si>
  <si>
    <t>2017.028B.A.v1.Lambdavirus_3sp.zip</t>
  </si>
  <si>
    <t>Escherichia virus HK629</t>
  </si>
  <si>
    <t>Escherichia virus HK630</t>
  </si>
  <si>
    <t>2016.073a-dB.A.v2.Laroyevirus.pdf</t>
  </si>
  <si>
    <t>2016.027a-dB.A.v1.Marvinvirus.pdf</t>
  </si>
  <si>
    <t>2016.074a-dB.A.v1.Mudcatvirus.pdf</t>
  </si>
  <si>
    <t>2015.051a-dB.A.v2.Nonagvirus.pdf</t>
  </si>
  <si>
    <t>2016.058a-dB.A.v1.Np1virus.pdf</t>
  </si>
  <si>
    <t>2016.032a-dB.A.v1.P12002virus.pdf</t>
  </si>
  <si>
    <t>2016.033a-dB.A.v1.P12024virus.pdf</t>
  </si>
  <si>
    <t>2015.011a-dB.A.v2.P70virus.pdf</t>
  </si>
  <si>
    <t>2016.034a-dB.A.v1.Pa6virus.pdf</t>
  </si>
  <si>
    <t>2016.035a-dB.A.v1.Pamx74virus.pdf</t>
  </si>
  <si>
    <t>2016.036a-eB.A.v1.Patiencevirus.pdf</t>
  </si>
  <si>
    <t>2016.059a-dB.A.v1.Pepy6virus.pdf</t>
  </si>
  <si>
    <t>Pfr1virus</t>
  </si>
  <si>
    <t>Propionibacterium virus PFR1</t>
  </si>
  <si>
    <t>2017.027B.A.v1.Pfr1virus.zip</t>
  </si>
  <si>
    <t>2016.075a-dB.A.v1.Pis4avirus.pdf</t>
  </si>
  <si>
    <t>2015.015a-dB.A.v2.Psavirus.pdf</t>
  </si>
  <si>
    <t>2016.040a-dB.A.v3.Rdjlvirus.pdf</t>
  </si>
  <si>
    <t>2016.041a-fB.A.v3.Rer2virus.pdf</t>
  </si>
  <si>
    <t>2016.044a-dB.A.v1.Send513virus.pdf</t>
  </si>
  <si>
    <t>2015.054a-dB.A.v3.Septima3virus.pdf</t>
  </si>
  <si>
    <t>2015.053a-dB.A.v2.Seuratvirus.pdf</t>
  </si>
  <si>
    <t>2015.017a-dB.A.v3.Sextaecvirus.pdf</t>
  </si>
  <si>
    <t>2015.037a-dB.A.v3.Sitaravirus.pdf</t>
  </si>
  <si>
    <t>2015.040a-dB.A.v2.Slashvirus.pdf</t>
  </si>
  <si>
    <t>2016.046a-dB.A.v1.Smoothievirus.pdf</t>
  </si>
  <si>
    <t>2016.061a-dB.A.v1.Soupsvirus.pdf</t>
  </si>
  <si>
    <t>2015.048a-dB.A.v2.Ssp2virus.pdf</t>
  </si>
  <si>
    <t>2015.021a,bB.A.v2.T5virus_4sp1rem.pdf</t>
  </si>
  <si>
    <t>2016.048a-dB.A.v2.Tankvirus.pdf</t>
  </si>
  <si>
    <t>2016.049a-dB.A.v1.Tin2virus.pdf</t>
  </si>
  <si>
    <t>2016.050a-dB.A.v1.Titanvirus.pdf</t>
  </si>
  <si>
    <t>Tp84virus</t>
  </si>
  <si>
    <t>Geobacillus virus Tp84</t>
  </si>
  <si>
    <t>2017.020B.A.v1.Tp84virus.zip</t>
  </si>
  <si>
    <t>Trigintaduovirus</t>
  </si>
  <si>
    <t>Mycobacterium virus 32HC</t>
  </si>
  <si>
    <t>2017.026B.A.v2.Trigintaduovirus.zip</t>
  </si>
  <si>
    <t>2016.052a-dB.A.v1.Vegasvirus.pdf</t>
  </si>
  <si>
    <t>2016.062a-dB.A.v1.Vendettavirus.pdf</t>
  </si>
  <si>
    <t>2016.053a-dB.A.v1.Wildcatvirus.pdf</t>
  </si>
  <si>
    <t>Wizardvirus</t>
  </si>
  <si>
    <t>Gordonia virus Twister6</t>
  </si>
  <si>
    <t>2017.012B.A.v1.Wizardvirus.zip</t>
  </si>
  <si>
    <t>Gordonia virus Wizard</t>
  </si>
  <si>
    <t>2016.054a-dB.A.v1.Woesvirus.pdf</t>
  </si>
  <si>
    <t>2016.065a-dB.A.v1.Ydn12virus.pdf</t>
  </si>
  <si>
    <t>2008.018-022V.v1.Batrachovirus.pdf</t>
  </si>
  <si>
    <t>Ranid herpesvirus 3</t>
  </si>
  <si>
    <t>2017.012D.A.v1.Batrachovirus_sp.zip</t>
  </si>
  <si>
    <t>2010.015aV.A.v1.Cyprinivirus-sp.pdf</t>
  </si>
  <si>
    <t>2008.023-027V.v1.Cyprinivirus.pdf</t>
  </si>
  <si>
    <t>2009.016aV.v3.Ictalurivirus-2Sp.pdf</t>
  </si>
  <si>
    <t>2005.020-72.04.Herpes.pdf</t>
  </si>
  <si>
    <t>2008.028-032V.v2.Salmonivirus.pdf</t>
  </si>
  <si>
    <t>2015.010aD.A.v2.Herpesvirales_spren.pdf</t>
  </si>
  <si>
    <t>2015.006aD.A.v2.Simplexvirus_sp.pdf</t>
  </si>
  <si>
    <t>2011.022a-dV.A.v1.Aurivirus.pdf</t>
  </si>
  <si>
    <t>2011.008a-cB.A.v2.Ligamenvirales.pdf</t>
  </si>
  <si>
    <t>Carbovirus</t>
  </si>
  <si>
    <t>Queensland carbovirus</t>
  </si>
  <si>
    <t>2017.005M.A.v2.Carbovirus.zip</t>
  </si>
  <si>
    <t>Southwest carbovirus</t>
  </si>
  <si>
    <t>Orthobornavirus</t>
  </si>
  <si>
    <t>Elapid 1 orthobornavirus</t>
  </si>
  <si>
    <t>2017.004M.A.v1.Bornaviridae_ren.zip</t>
  </si>
  <si>
    <t>Mammalian 1 orthobornavirus</t>
  </si>
  <si>
    <t>Mammalian 2 orthobornavirus</t>
  </si>
  <si>
    <t>Passeriform 1 orthobornavirus</t>
  </si>
  <si>
    <t>Passeriform 2 orthobornavirus</t>
  </si>
  <si>
    <t>Psittaciform 1 orthobornavirus</t>
  </si>
  <si>
    <t>Psittaciform 2 orthobornavirus</t>
  </si>
  <si>
    <t>Waterbird 1 orthobornavirus</t>
  </si>
  <si>
    <t>2012.005a-dV.A.v2.Cuevavirus.pdf</t>
  </si>
  <si>
    <t>2010.010aV.A.v1.Ebolavirus-sp.pdf</t>
  </si>
  <si>
    <t>2002.V034-039.Filoviridae.pdf</t>
  </si>
  <si>
    <t>Tai Forest ebolavirus</t>
  </si>
  <si>
    <t>2017.001G.A.v2.43spren.zip</t>
  </si>
  <si>
    <t>2010.010bV.A.v3.Ebolavirus-ren-Sp.pdf</t>
  </si>
  <si>
    <t>2015.008a-gM.A.v3.Mymonaviridae.pdf</t>
  </si>
  <si>
    <t>2013.002a-hV.A.v1.Nyamiviridae.pdf</t>
  </si>
  <si>
    <t>2014.007aV.A.v2.Nyavirus_sp.pdf</t>
  </si>
  <si>
    <t>2016.015a-dM.A.v1.Peropuvirus.pdf</t>
  </si>
  <si>
    <t>2015.004a-fM.A.v3.Socyvirus.pdf</t>
  </si>
  <si>
    <t>2016.011aM.A.v2.Paramyxoviridae_spren.pdf</t>
  </si>
  <si>
    <t>2016.001a,bM.A.v2.Avulavirus_spren.pdf</t>
  </si>
  <si>
    <t>Avian avulavirus 14</t>
  </si>
  <si>
    <t>2017.010M.A.v2.Avulavirus_6sp.zip</t>
  </si>
  <si>
    <t>Avian avulavirus 15</t>
  </si>
  <si>
    <t>Avian avulavirus 16</t>
  </si>
  <si>
    <t>Avian avulavirus 17</t>
  </si>
  <si>
    <t>Avian avulavirus 18</t>
  </si>
  <si>
    <t>Avian avulavirus 19</t>
  </si>
  <si>
    <t>2015.013aM.A.v3.Henipavirus_3sp.pdf</t>
  </si>
  <si>
    <t>2015.012aM.A.v3.Avulavirus_3sp.pdf</t>
  </si>
  <si>
    <t>2015.011a-iM.A.v2.Pneumoviridae.pdf</t>
  </si>
  <si>
    <t>2015.014aM.A.v2.Morbillivirus_sp.pdf</t>
  </si>
  <si>
    <t>2015.016aM.A.v3.Rubulavirus_10sp.pdf</t>
  </si>
  <si>
    <t>2016.012aM.A.v1.Pneumoviridae_spren.pdf</t>
  </si>
  <si>
    <t>2016.002a-dM.A.v3.Almendravirus.pdf</t>
  </si>
  <si>
    <t>2016.003a-dM.A.v3.Curiovirus.pdf</t>
  </si>
  <si>
    <t>2015.007aM.A.v1.Cytorhabdovirus_sp.pdf</t>
  </si>
  <si>
    <t>2015.006aM.A.v3.Rhabdoviridae_spren.pdf</t>
  </si>
  <si>
    <t>2016.017aM.A.v1.Cytorhabdovirus_sp.pdf</t>
  </si>
  <si>
    <t>2014.003a-dV.A.v3.Dichorhavirus.pdf</t>
  </si>
  <si>
    <t>2016.004aM.A.v2.Ephemerovirus_3sp.pdf</t>
  </si>
  <si>
    <t>2016.005a-gM.A.v4.Hapavirus.pdf</t>
  </si>
  <si>
    <t>2016.006a-dM.A.v2.Ledantevirus.pdf</t>
  </si>
  <si>
    <t>Kanyawara ledantevirus</t>
  </si>
  <si>
    <t>2017.009M.A.v1.Ledantevirus_sp.zip</t>
  </si>
  <si>
    <t>ICTV 7th Report.pdf</t>
  </si>
  <si>
    <t>2012.009bV.A.v2.Lyssavirus_sp.pdf</t>
  </si>
  <si>
    <t>Gannoruwa bat lyssavirus</t>
  </si>
  <si>
    <t>2017.013M.A.v1.Lyssavirus_sp.zip</t>
  </si>
  <si>
    <t>2012.009aV.A.v4.Lyssavirus_sp.pdf</t>
  </si>
  <si>
    <t>Lleida bat lyssavirus</t>
  </si>
  <si>
    <t>2017.014M.A.v1.Lyssavirus_sp.zip</t>
  </si>
  <si>
    <t>2016.018aM.A.v1.Novirhabdovirus_spren.pdf</t>
  </si>
  <si>
    <t>2011.007a-dV.A.v2.Sigmavirus.pdf</t>
  </si>
  <si>
    <t>2016.007a-dM.A.v5.Sripuvirus.pdf</t>
  </si>
  <si>
    <t>2016.008aM.A.v3.Tibrovirus_4sp.pdf</t>
  </si>
  <si>
    <t>Beatrice Hill tibrovirus</t>
  </si>
  <si>
    <t>2017.019M.A.v1.Tibrovirus_sp.zip</t>
  </si>
  <si>
    <t>2016.009aM.A.v2.Tupavirus_sp.pdf</t>
  </si>
  <si>
    <t>2010.009aV.A.v2.Rhabdoviridae-sp.pdf</t>
  </si>
  <si>
    <t>2016.010aM.A.v3.Vesiculovirus_7sp.pdf</t>
  </si>
  <si>
    <t>2015.009a-gM.A.v4.Sunviridae.pdf</t>
  </si>
  <si>
    <t>2015.010a-tM.A.v3.Mononegavirales_5gen.pdf</t>
  </si>
  <si>
    <t>Dipartevirus</t>
  </si>
  <si>
    <t>2016.020a-acS.A.v2.Arteriviridae_rev.pdf</t>
  </si>
  <si>
    <t>Equartevirus</t>
  </si>
  <si>
    <t>Nesartevirus</t>
  </si>
  <si>
    <t>Porartevirus</t>
  </si>
  <si>
    <t>Simartevirus</t>
  </si>
  <si>
    <t>DeBrazza monkey arterivirus</t>
  </si>
  <si>
    <t>2008.085-122V.v4.Coronaviridae.pdf</t>
  </si>
  <si>
    <t>2015.003a-eS.A.v2.Coronaviridae_12sp.pdf</t>
  </si>
  <si>
    <t>2010.023a-dV.A.v2.Deltacoronavirus.pdf</t>
  </si>
  <si>
    <t>2016.019aS.A.v1.Torovirinae_2sp.pdf</t>
  </si>
  <si>
    <t>2011.001a-gI.A.v2.Mesoniviridae.pdf</t>
  </si>
  <si>
    <t>2015.004a,bS.A.v2.Mesoniviridae_6sp.pdf</t>
  </si>
  <si>
    <t>Ratification_2002a.pdf</t>
  </si>
  <si>
    <t>Ortervirales</t>
  </si>
  <si>
    <t>Belpaoviridae</t>
  </si>
  <si>
    <t>2017.001D.A.v1.Belpaoviridae.zip</t>
  </si>
  <si>
    <t>Antheraea semotivirus Tamy</t>
  </si>
  <si>
    <t>Drosophila semotivirus Max</t>
  </si>
  <si>
    <t>Schistosoma semotivirus Sinbad</t>
  </si>
  <si>
    <t>Takifugu rubripes Suzu virus</t>
  </si>
  <si>
    <t>2017.013D.A.v1.Ortervirales.zip</t>
  </si>
  <si>
    <t>Cacao mild mosaic virus</t>
  </si>
  <si>
    <t>2017.017P.A.v2.Badnavirus_6sp.zip</t>
  </si>
  <si>
    <t>Cacao yellow vein banding virus</t>
  </si>
  <si>
    <t>Dioscorea bacilliform RT virus 1</t>
  </si>
  <si>
    <t>Dioscorea bacilliform RT virus 2</t>
  </si>
  <si>
    <t>Dioscorea bacilliform TR virus</t>
  </si>
  <si>
    <t>Kalanchoe top-spotting virus</t>
  </si>
  <si>
    <t>Wisteria badnavirus 1</t>
  </si>
  <si>
    <t>Drosophila melanogaster 17-6 virus</t>
  </si>
  <si>
    <t xml:space="preserve">Proposal for Last Change </t>
  </si>
  <si>
    <t>Triticum aestivum WIS2 virus</t>
  </si>
  <si>
    <t>Zea mays Sto4 virus</t>
  </si>
  <si>
    <t>Zea mays Opie2 virus</t>
  </si>
  <si>
    <t>Zea mays Prem2 virus</t>
  </si>
  <si>
    <t>Visna-maedi virus</t>
  </si>
  <si>
    <t>Bovispumavirus</t>
  </si>
  <si>
    <t>2017.006D.A.v2.Spumaretrovirinae_4gen.zip</t>
  </si>
  <si>
    <t>Equispumavirus</t>
  </si>
  <si>
    <t>Felispumavirus</t>
  </si>
  <si>
    <t>Puma feline foamy virus</t>
  </si>
  <si>
    <t>Prosimiispumavirus</t>
  </si>
  <si>
    <t>Brown greater galago prosimian foamy virus</t>
  </si>
  <si>
    <t>Simiispumavirus</t>
  </si>
  <si>
    <t>Bornean orangutan simian foamy virus</t>
  </si>
  <si>
    <t>Central cimpanzee simian foamy virus</t>
  </si>
  <si>
    <t>Eastern chimpanzee simian foamy virus</t>
  </si>
  <si>
    <t>Grivet simian foamy virus</t>
  </si>
  <si>
    <t>Guenon simian foamy virus</t>
  </si>
  <si>
    <t>Japanese macaque simian foamy virus</t>
  </si>
  <si>
    <t>Rhesus macaque simian foamy virus</t>
  </si>
  <si>
    <t>Spider monkey simian foamy virus</t>
  </si>
  <si>
    <t>Squirrel monkey simian foamy virus</t>
  </si>
  <si>
    <t>Taiwanese macaque simian foamy virus</t>
  </si>
  <si>
    <t>Western chimpanzee simian foamy virus</t>
  </si>
  <si>
    <t>Western lowland gorilla simian foamy virus</t>
  </si>
  <si>
    <t>White-tufted-ear marmoset simian foamy virus</t>
  </si>
  <si>
    <t>Yellow-breasted capuchin simian foamy virus</t>
  </si>
  <si>
    <t>2008.001-004,6I.A.v3.Aparavirus.pdf</t>
  </si>
  <si>
    <t>2011.004aI.A.v1.Aparavirus-Sp.pdf</t>
  </si>
  <si>
    <t>Solenopsis invicta virus 1</t>
  </si>
  <si>
    <t>2005.200-2G.04.Picornavirales.pdf</t>
  </si>
  <si>
    <t>2015.006a-eS.A.v3.Triatovirus.pdf</t>
  </si>
  <si>
    <t>Homalodisca coagulata virus 1</t>
  </si>
  <si>
    <t>2015.009aS.A.v2.Iflavirus_sp.pdf</t>
  </si>
  <si>
    <t>2016.003aS.A.v2.Iflavirus_sp.pdf</t>
  </si>
  <si>
    <t>2005.120I.04.Ifla.pdf</t>
  </si>
  <si>
    <t>2015.010aS.A.v2.Iflavirus_sp.pdf</t>
  </si>
  <si>
    <t>2006.029-31I.04.Iflaviridae.pdf</t>
  </si>
  <si>
    <t>2013.001aI.A.v2.Iflavirus_2sp.pdf</t>
  </si>
  <si>
    <t>2015.011aS.A.v2.Iflavirus_sp.pdf</t>
  </si>
  <si>
    <t>2011.005aI.A.v1.Iflavirus-Sp.pdf</t>
  </si>
  <si>
    <t>2015.012aS.A.v2.Iflavirus_sp.pdf</t>
  </si>
  <si>
    <t>2015.013aS.A.v2.Iflavirus_sp.pdf</t>
  </si>
  <si>
    <t>Varroa destructor virus 1</t>
  </si>
  <si>
    <t>Aalivirus</t>
  </si>
  <si>
    <t>Aalivirus A</t>
  </si>
  <si>
    <t>2017.002S.A.v1.Aalivirus.zip</t>
  </si>
  <si>
    <t>2016.007a-dS.A.v1.Ampivirus.pdf</t>
  </si>
  <si>
    <t>2011.016aV.A.v2.Aphthovirus-Sp.pdf</t>
  </si>
  <si>
    <t>2008.083V.BRBV-Sp.pdf</t>
  </si>
  <si>
    <t>2014.016aV.A.v1.Picornaviridae_spren.pdf</t>
  </si>
  <si>
    <t>2011.015a-dV.A.v1.Aquamavirus.pdf</t>
  </si>
  <si>
    <t>2013.009a-dV.A.v1.Avisivirus.pdf</t>
  </si>
  <si>
    <t>2016.002aS.A.v1.Avisivirus_2sp.pdf</t>
  </si>
  <si>
    <t>Bopivirus</t>
  </si>
  <si>
    <t>Bopivirus A</t>
  </si>
  <si>
    <t>2017.003S.A.v1.Bopivirus.zip</t>
  </si>
  <si>
    <t>2014.014aV.A.v2.Cardiovirus_sp.pdf</t>
  </si>
  <si>
    <t>2011.017a-dV.A.v1.Cosavirus.pdf</t>
  </si>
  <si>
    <t>2016.004aS.A.v1.Cosavirus_4sp.pdf</t>
  </si>
  <si>
    <t>Crohivirus</t>
  </si>
  <si>
    <t>Crohivirus A</t>
  </si>
  <si>
    <t>2017.004S.A.v2.Crohivirus.zip</t>
  </si>
  <si>
    <t>Crohivirus B</t>
  </si>
  <si>
    <t>2012.013a-dV.A.v1.Dicipivirus.pdf</t>
  </si>
  <si>
    <t>2011.018a,bV.A.v2.Enterovirus-Sp,Ren.pdf</t>
  </si>
  <si>
    <t>2016.005aS.A.v1.Enterovirus_sp.pdf</t>
  </si>
  <si>
    <t>Enterovirus K</t>
  </si>
  <si>
    <t>2017.005S.A.v1.Enterovirus_2sp.zip</t>
  </si>
  <si>
    <t>Enterovirus L</t>
  </si>
  <si>
    <t>2013.007a-dV.A.v1.Gallivirus.pdf</t>
  </si>
  <si>
    <t>2016.008a-dS.A.v1.Harkavirus.pdf</t>
  </si>
  <si>
    <t>2016.009aS.A.v2.Hepatovirus_8sp.pdf</t>
  </si>
  <si>
    <t>2013.008a-dV.A.v2.Hunnivirus.pdf</t>
  </si>
  <si>
    <t>2012.014aV.A.v1.Kobuvirus-Sp,Ren.pdf</t>
  </si>
  <si>
    <t>2011.020aV.A.v2.Kobuvirus-Sp.pdf</t>
  </si>
  <si>
    <t>2016.001aS.A.v2.Kobuvirus_3sp.pdf</t>
  </si>
  <si>
    <t>2014.015a-dV.A.v3.Kunsagivirus.pdf</t>
  </si>
  <si>
    <t>Kunsagivirus B</t>
  </si>
  <si>
    <t>2017.006S.A.v2.Kunsagivirus_2sp.zip</t>
  </si>
  <si>
    <t>Kunsagivirus C</t>
  </si>
  <si>
    <t>2015.007a-dS.A.v4.Limnipivirus.pdf</t>
  </si>
  <si>
    <t>Megrivirus A</t>
  </si>
  <si>
    <t>2017.007S.A.v2.Megrivirus_4sp.zip</t>
  </si>
  <si>
    <t>Megrivirus B</t>
  </si>
  <si>
    <t>Megrivirus C</t>
  </si>
  <si>
    <t>Megrivirus D</t>
  </si>
  <si>
    <t>Megrivirus E</t>
  </si>
  <si>
    <t>2013.010a-dV.A.v1.Mischivirus.pdf</t>
  </si>
  <si>
    <t>2016.012aS.A.v2.Mischivirus_2sp.pdf</t>
  </si>
  <si>
    <t>2013.011a-dV.A.v1.Mosavirus.pdf</t>
  </si>
  <si>
    <t>Orivirus</t>
  </si>
  <si>
    <t>Orivirus A</t>
  </si>
  <si>
    <t>2017.008S.A.v1.Orivirus.zip</t>
  </si>
  <si>
    <t>2013.012a-dV.A.v2.Oscivirus.pdf</t>
  </si>
  <si>
    <t>2016.014aS.A.v2.Parechovirus_2sp.pdf</t>
  </si>
  <si>
    <t>2013.013a-dV.A.v1.Pasivirus.pdf</t>
  </si>
  <si>
    <t>2013.015a-dV.A.v2.Passerivirus.pdf</t>
  </si>
  <si>
    <t>2015.008a-dS.A.v4.Potamipivirus.pdf</t>
  </si>
  <si>
    <t>2016.015a-dS.A.v1.Rabovirus.pdf</t>
  </si>
  <si>
    <t>2013.014a-dV.A.v1.Rosavirus.pdf</t>
  </si>
  <si>
    <t>2014.017a-dV.A.v3.Sakobuvirus.pdf</t>
  </si>
  <si>
    <t>2011.021a-dV.A.v1.Salivirus.pdf</t>
  </si>
  <si>
    <t>2007.103-6V.v3.Sapelovirus.pdf</t>
  </si>
  <si>
    <t>Shanbavirus</t>
  </si>
  <si>
    <t>Shanbavirus A</t>
  </si>
  <si>
    <t>2017.009S.A.v1.Shanbavirus.zip</t>
  </si>
  <si>
    <t>2014.018a-dV.A.v3.Sicinivirus.pdf</t>
  </si>
  <si>
    <t>2016.018a-dS.A.v1.Torchivirus.pdf</t>
  </si>
  <si>
    <t>Polycipiviridae</t>
  </si>
  <si>
    <t>Chipolycivirus</t>
  </si>
  <si>
    <t>Chironomus riparius virus 1</t>
  </si>
  <si>
    <t>2017.011S.A.v2.Polycipiviridae.zip</t>
  </si>
  <si>
    <t>Hubei chipolycivirus</t>
  </si>
  <si>
    <t>Hupolycivirus</t>
  </si>
  <si>
    <t>Hubei hupolycivirus</t>
  </si>
  <si>
    <t>Sopolycivirus</t>
  </si>
  <si>
    <t>Formica exsecta virus 3</t>
  </si>
  <si>
    <t>Lasius neglectus virus 1</t>
  </si>
  <si>
    <t>Lasius neglectus virus 2</t>
  </si>
  <si>
    <t>Lasius niger virus 1</t>
  </si>
  <si>
    <t>Linepithema humile virus 2</t>
  </si>
  <si>
    <t>Monomorium pharaonis virus 1</t>
  </si>
  <si>
    <t>Monomorium pharaonis virus 2</t>
  </si>
  <si>
    <t>Myrmica scabrinodis virus 1</t>
  </si>
  <si>
    <t>Shuangao insect virus 8</t>
  </si>
  <si>
    <t>Solenopsis invicta virus 2</t>
  </si>
  <si>
    <t>Solenopsis invicta virus 4</t>
  </si>
  <si>
    <t>2007.060-2P.Comovirinae.pdf</t>
  </si>
  <si>
    <t>2012.006aP.A.v2.Fabavirus-sp.pdf</t>
  </si>
  <si>
    <t>Grapevine fabavirus</t>
  </si>
  <si>
    <t>2017.005P.A.v2.Secoviridae_5sp.zip</t>
  </si>
  <si>
    <t>Prunus virus F</t>
  </si>
  <si>
    <t>2015.005aP.A.v3.Nepovirus_2sp.pdf</t>
  </si>
  <si>
    <t>2012.005aP.A.v1.Nepovirus-sp.pdf</t>
  </si>
  <si>
    <t>2011.003aP.A.v1.Nepovirus_1sp.pdf</t>
  </si>
  <si>
    <t>Potato virus B</t>
  </si>
  <si>
    <t>Soybean latent spherical virus</t>
  </si>
  <si>
    <t>2007.057-9P.Secoviridae.pdf</t>
  </si>
  <si>
    <t>2013.004aP.A.v1.Cheravirus_sp.pdf</t>
  </si>
  <si>
    <t>2016.003aP.A.v2.Cheravirus_sp.pdf</t>
  </si>
  <si>
    <t>2009.007a-hP.v2.Secoviridae_changes.pdf</t>
  </si>
  <si>
    <t>2015.006aP.A.v2.Torradovirus_2sp.pdf</t>
  </si>
  <si>
    <t>2014.004aP.A.v2.Torradovirus_sp.pdf</t>
  </si>
  <si>
    <t>2016.004a-cP.A.v3.Secoviridae_3sp.pdf</t>
  </si>
  <si>
    <t>2007.039-42P.v2.Torradovirus.pdf</t>
  </si>
  <si>
    <t>Dioscorea mosaic associated virus</t>
  </si>
  <si>
    <t>Chaetoceros socialis forma radians RNA virus 1</t>
  </si>
  <si>
    <t>2009.015a-kP.A.v6.Bacillarnavirus.pdf</t>
  </si>
  <si>
    <t>2009.012a-fP.A.v6.Labyrnavirus.pdf</t>
  </si>
  <si>
    <t>Alfalfa virus S</t>
  </si>
  <si>
    <t>2017.021P.A.v3.Alpha-Betaflexiviridae_14sp.zip</t>
  </si>
  <si>
    <t>Arachis pintoi virus</t>
  </si>
  <si>
    <t>2007.018-20P.v2.Alphaflexiviridae.pdf</t>
  </si>
  <si>
    <t>Vanilla latent virus</t>
  </si>
  <si>
    <t>2007.014-017P.Botrexvirus.pdf</t>
  </si>
  <si>
    <t>2008.008-011bP.v3.Lolavirus.pdf</t>
  </si>
  <si>
    <t>2013.003aP.A.v1.Mandarivirus_sp.pdf</t>
  </si>
  <si>
    <t>2015.012a-dP.A.v4.Platypuvirus.pdf</t>
  </si>
  <si>
    <t>Actinidia virus X</t>
  </si>
  <si>
    <t>2012.017a,bP.A.v2.Alphaflexiviridae-3sp.pdf</t>
  </si>
  <si>
    <t>2009.005a,bP.v1.Potexvirus-Sp.pdf</t>
  </si>
  <si>
    <t>2008.006P.v2.Potexvirus-2Sp.pdf</t>
  </si>
  <si>
    <t>Pitaya virus X</t>
  </si>
  <si>
    <t>Vanilla virus X</t>
  </si>
  <si>
    <t>2015.013aP.A.v3.Potexvirus_sp.pdf</t>
  </si>
  <si>
    <t>2007.010-013P.Sclerodarnavirus.pdf</t>
  </si>
  <si>
    <t>2015.011a-adP.A.v2.Betaflexiviridae_rev.pdf</t>
  </si>
  <si>
    <t>Atractylodes mottle virus</t>
  </si>
  <si>
    <t>Kalanchoe latent virus</t>
  </si>
  <si>
    <t>Ligustrum virus A</t>
  </si>
  <si>
    <t>Sambucus virus C</t>
  </si>
  <si>
    <t>Sambucus virus D</t>
  </si>
  <si>
    <t>Sambucus virus E</t>
  </si>
  <si>
    <t>Sint-Jan onion latent virus</t>
  </si>
  <si>
    <t>Yam latent virus</t>
  </si>
  <si>
    <t>Asian prunus virus 2</t>
  </si>
  <si>
    <t>Arracacha virus V</t>
  </si>
  <si>
    <t>Deltaflexiviridae</t>
  </si>
  <si>
    <t>Deltaflexivirus</t>
  </si>
  <si>
    <t>Fusarium deltaflexivirus 1</t>
  </si>
  <si>
    <t>2017.020P.A.v1.Deltaflexiviridae.zip</t>
  </si>
  <si>
    <t>Sclerotinia deltaflexivirus 1</t>
  </si>
  <si>
    <t>Soybean-associated deltaflexivirus 1</t>
  </si>
  <si>
    <t>2007.006-009P.Mycoflexivirus.pdf</t>
  </si>
  <si>
    <t>2007.027a-fP.v2.Tymovirales.pdf</t>
  </si>
  <si>
    <t>2010.007aP.A.v1.Marafivirus-sp_BlVS.pdf</t>
  </si>
  <si>
    <t>Grapevine asteroid mosaic associated virus</t>
  </si>
  <si>
    <t>2017.019P.A.v1.Marafivirus_2sp.zip</t>
  </si>
  <si>
    <t>2010.008aP.A.v1.Marafivirus-sp_GSyV-1.pdf</t>
  </si>
  <si>
    <t>2016.022a,bP.A.v1.Tymoviridae_2sp.pdf</t>
  </si>
  <si>
    <t>2011.014aP.A.v1.Marafivirus_1sp.pdf</t>
  </si>
  <si>
    <t>Peach marafivirus D</t>
  </si>
  <si>
    <t>2013.013aP.A.v2.Tymovirus_sp.pdf</t>
  </si>
  <si>
    <t>2010.019aP.A.v1.Tymovirus_1sp.pdf</t>
  </si>
  <si>
    <t>2010.006aP.A.v2.Tymoviridae-sp.pdf</t>
  </si>
  <si>
    <t>2010.012aP.A.v1.Tymoviridae-sp.pdf</t>
  </si>
  <si>
    <t>2013.003aV.A.v1.Adenoviridae_spren.pdf</t>
  </si>
  <si>
    <t>Deer atadenovirus A</t>
  </si>
  <si>
    <t>2017.016D.A.v1.Adenoviridae_4sp.zip</t>
  </si>
  <si>
    <t>2016.002aD.A.v1.Atadenovirus_2sp.pdf</t>
  </si>
  <si>
    <t>2015.005aD.A.v2.Aviadenovirus_4sp.pdf</t>
  </si>
  <si>
    <t>Pigeon aviadenovirus B</t>
  </si>
  <si>
    <t>2017.014D.A.v1.Adenoviridae_8sp.zip</t>
  </si>
  <si>
    <t>Psittacine aviadenovirus B</t>
  </si>
  <si>
    <t>Bat mastadenovirus C</t>
  </si>
  <si>
    <t>Bat mastadenovirus D</t>
  </si>
  <si>
    <t>Bat mastadenovirus E</t>
  </si>
  <si>
    <t>Bat mastadenovirus F</t>
  </si>
  <si>
    <t>Bat mastadenovirus G</t>
  </si>
  <si>
    <t>Deer mastadenovirus B</t>
  </si>
  <si>
    <t>2016.010aD.A.v1.Mastadenovirus_9sp.pdf</t>
  </si>
  <si>
    <t>Dolphin mastadenovirus B</t>
  </si>
  <si>
    <t>2015.012aD.A.v2.Mastadenovirus_2sp.pdf</t>
  </si>
  <si>
    <t>Simian mastadenovirus I</t>
  </si>
  <si>
    <t>Squirrel mastadenovirus A</t>
  </si>
  <si>
    <t>2016.012aD.A.v1.Siadenovirus_sp.pdf</t>
  </si>
  <si>
    <t>Alphasatellitidae</t>
  </si>
  <si>
    <t>Geminialphasatellitinae</t>
  </si>
  <si>
    <t>Ageyesisatellite</t>
  </si>
  <si>
    <t>Ageratum yellow vein Singapore alphasatellite</t>
  </si>
  <si>
    <t>2017.004P.A.v4.Alphasatellitidae.zip</t>
  </si>
  <si>
    <t>Cotton leaf curl Saudi Arabia alphasatellite</t>
  </si>
  <si>
    <t>Clecrusatellite</t>
  </si>
  <si>
    <t>Cleome leaf crumple alphasatellite</t>
  </si>
  <si>
    <t>Croton yellow vein mosaic alphasatellite</t>
  </si>
  <si>
    <t>Euphorbia yellow mosaic alphasatellite</t>
  </si>
  <si>
    <t>Melon chlorotic mosaic alphasatellite</t>
  </si>
  <si>
    <t>Sida Cuba alphasatellite</t>
  </si>
  <si>
    <t>Tomato yellow spot alphasatellite</t>
  </si>
  <si>
    <t>Whitefly associated Guatemala alphasatellite 2</t>
  </si>
  <si>
    <t>Whitefly associated Puerto Rico alphasatellite 1</t>
  </si>
  <si>
    <t>Colecusatellite</t>
  </si>
  <si>
    <t>Ageratum enation alphasatellite</t>
  </si>
  <si>
    <t>Ageratum yellow vein alphasatellite</t>
  </si>
  <si>
    <t>Ageratum yellow vein China alphasatellite</t>
  </si>
  <si>
    <t>Ageratum yellow vein India alphasatellite</t>
  </si>
  <si>
    <t>Bhendi yellow vein alphasatellite</t>
  </si>
  <si>
    <t>Cassava mosaic Madagascar alphasatellite</t>
  </si>
  <si>
    <t>Chilli leaf curl alphasatellite</t>
  </si>
  <si>
    <t>Cotton leaf curl Egypt alphasatellite</t>
  </si>
  <si>
    <t>Cotton leaf curl Gezira alphasatellite</t>
  </si>
  <si>
    <t>Cotton leaf curl Lucknow alphasatellite</t>
  </si>
  <si>
    <t>Cotton leaf curl Multan alphasatellite</t>
  </si>
  <si>
    <t>Gossypium darwinii symptomless alphasatellite</t>
  </si>
  <si>
    <t>Malvastrum yellow mosaic alphasatellite</t>
  </si>
  <si>
    <t>Malvastrum yellow mosaic Cameroon alphasatellite</t>
  </si>
  <si>
    <t>Pedilanthus leaf curl alphasatellite</t>
  </si>
  <si>
    <t>Sida leaf curl alphasatellite</t>
  </si>
  <si>
    <t>Sida yellow vein Vietnam alphasatellite</t>
  </si>
  <si>
    <t>Sunflower leaf curl Karnataka alphasatellite</t>
  </si>
  <si>
    <t>Synedrella leaf curl alphasatellite</t>
  </si>
  <si>
    <t>Tobacco curly shoot alphasatellite</t>
  </si>
  <si>
    <t>Tomato leaf curl Buea alphasatellite</t>
  </si>
  <si>
    <t>Tomato leaf curl Cameroon alphasatellite</t>
  </si>
  <si>
    <t>Tomato yellow leaf curl China alphasatellite</t>
  </si>
  <si>
    <t>Tomato yellow leaf curl Thailand alphasatellite</t>
  </si>
  <si>
    <t>Tomato yellow leaf curl Yunnan alphasatellite</t>
  </si>
  <si>
    <t>Gosmusatellite</t>
  </si>
  <si>
    <t>Gossypium mustelinum symptomless alphasatellite</t>
  </si>
  <si>
    <t>Hollyhock yellow vein alphasatellite</t>
  </si>
  <si>
    <t>Mesta yellow vein mosaic alphasatellite</t>
  </si>
  <si>
    <t>Okra enation leaf curl alphasatellite</t>
  </si>
  <si>
    <t>Okra yellow crinkle Cameroon alphasatellite</t>
  </si>
  <si>
    <t>Vernonia yellow vein Fujian alphasatellite</t>
  </si>
  <si>
    <t>Dragonfly associated alphasatellite</t>
  </si>
  <si>
    <t>Whitefly associated Guetamala alphasatellite 1</t>
  </si>
  <si>
    <t>Nanoalphasatellitinae</t>
  </si>
  <si>
    <t>Babusatellite</t>
  </si>
  <si>
    <t>Banana bunchy top alphasatellite 1</t>
  </si>
  <si>
    <t>Banana bunchy top alphasatellite 3</t>
  </si>
  <si>
    <t>Cardamom bushy dwarf alphasatellite</t>
  </si>
  <si>
    <t>Clostunsatellite</t>
  </si>
  <si>
    <t>Subterranean clover stunt alphasatellite 2</t>
  </si>
  <si>
    <t>Fabenesatellite</t>
  </si>
  <si>
    <t>Faba bean necrotic yellows alphasatellite 2</t>
  </si>
  <si>
    <t>Milvetsatellite</t>
  </si>
  <si>
    <t>Mivedwarsatellite</t>
  </si>
  <si>
    <t>Faba bean necrotic stunt alphasatellite</t>
  </si>
  <si>
    <t>Sophora yellow stunt alphasatellite 2</t>
  </si>
  <si>
    <t>Sophoyesatellite</t>
  </si>
  <si>
    <t>Sophora yellow stunt alphasatellite 3</t>
  </si>
  <si>
    <t>Subclovsatellite</t>
  </si>
  <si>
    <t>Faba bean necrotic yellows alphasatellite 1</t>
  </si>
  <si>
    <t>Sophora yellow stunt alphasatellit 1</t>
  </si>
  <si>
    <t>Subterranean clover stunt alphasatellite 1</t>
  </si>
  <si>
    <t>Coconut foliar decay alphasatellite</t>
  </si>
  <si>
    <t>2010.001a-qI.A.v4.Tetraviridae.pdf</t>
  </si>
  <si>
    <t>2009.016a-iP.A.v7.Alvernaviridae.pdf</t>
  </si>
  <si>
    <t>2013.005a-gP.A.v2.Amalgaviridae.pdf</t>
  </si>
  <si>
    <t>2005.084B.04.Ampullavirus.pdf</t>
  </si>
  <si>
    <t>2007.075a-xxV.v4.Anelloviridae.pdf</t>
  </si>
  <si>
    <t>2010.007aV.A.v2.Betatorquevirus-3sp.pdf</t>
  </si>
  <si>
    <t>2010.006aV.A.v2.Etatorquevirus-sp.pdf</t>
  </si>
  <si>
    <t>2010.008aV.A.v2.Gammatorquevirus-13sp.pdf</t>
  </si>
  <si>
    <t>2014.006f,gD.A.v3.Gyrovirus_move.pdf</t>
  </si>
  <si>
    <t>2011.002aV.A.v2.Anelloviridae_2Sp-ren.pdf</t>
  </si>
  <si>
    <t>2015.003a,bD.A.v1.Kappatorquevirus_sp,ren.pdf</t>
  </si>
  <si>
    <t>2010.004a-dV.A.v2.Lambdatorquevirus.pdf</t>
  </si>
  <si>
    <t>Hartmanivirus</t>
  </si>
  <si>
    <t>Haartman hartmanivirus</t>
  </si>
  <si>
    <t>2017.001M.A.v1.Hartmanivirus.zip</t>
  </si>
  <si>
    <t>2014.012aV.A.v3.Arenavirus_ren.pdf</t>
  </si>
  <si>
    <t>Argentinian mammarenavirus</t>
  </si>
  <si>
    <t>Brazilian mammarenavirus</t>
  </si>
  <si>
    <t>Cali mammarenavirus</t>
  </si>
  <si>
    <t>2015.001aM.A.v2.Mammarenavirus_4sp.pdf</t>
  </si>
  <si>
    <t>2016.014aM.A.v1.Mammarenavirus_sp.pdf</t>
  </si>
  <si>
    <t>2014.013aV.A.v3.Mammarenavirus_2sp.pdf</t>
  </si>
  <si>
    <t>Paraguayan mammarenavirus</t>
  </si>
  <si>
    <t>Ryukyu mammarenavirus</t>
  </si>
  <si>
    <t>2017.002M.A.v3.Mammarenavirus_sp.zip</t>
  </si>
  <si>
    <t>Serra do Navio mammarenavirus </t>
  </si>
  <si>
    <t>2016.019aM.A.v2.Mammarenavirus_sp.pdf</t>
  </si>
  <si>
    <t>Souris mammarenavirus</t>
  </si>
  <si>
    <t>2017.003M.A.v1.Mammarenavirus_sp.zip</t>
  </si>
  <si>
    <t>California reptarenavirus</t>
  </si>
  <si>
    <t>2017.015M.A.v1.Reptarenavirus_2sp3ren.zip</t>
  </si>
  <si>
    <t>Giessen reptarenavirus</t>
  </si>
  <si>
    <t>Golden reptarenavirus</t>
  </si>
  <si>
    <t>Ordinary reptarenavirus</t>
  </si>
  <si>
    <t>Rotterdam reptarenavirus</t>
  </si>
  <si>
    <t>2016.011aD.A.v1.Toursvirus_spren.pdf</t>
  </si>
  <si>
    <t>Ratification_1998.pdf</t>
  </si>
  <si>
    <t>Aspiviridae</t>
  </si>
  <si>
    <t>Blueberry mosaic associated ophiovirus</t>
  </si>
  <si>
    <t>2017.002P.A.v2.Ophioviridae_ren.zip</t>
  </si>
  <si>
    <t>Citrus psorosis ophiovirus</t>
  </si>
  <si>
    <t>Freesia sneak ophiovirus</t>
  </si>
  <si>
    <t>Lettuce ring necrosis ophiovirus</t>
  </si>
  <si>
    <t>Mirafiori lettuce big-vein ophiovirus</t>
  </si>
  <si>
    <t>Ranunculus white mottle ophiovirus</t>
  </si>
  <si>
    <t>Tulip mild mottle mosaic ophiovirus</t>
  </si>
  <si>
    <t>2010.017a-cV.A.v3.Avastrovirus.pdf</t>
  </si>
  <si>
    <t>2010.018a-cV.A.v4.Mamastrovirus.pdf</t>
  </si>
  <si>
    <t>2005.255-8P.04.Elaviroid.pdf</t>
  </si>
  <si>
    <t>Bacilladnaviridae</t>
  </si>
  <si>
    <t>Diatodnavirus</t>
  </si>
  <si>
    <t>Chaetoceros diatodnavirus 1</t>
  </si>
  <si>
    <t>2017.001F.A.v1.Bacilladnaviridae.zip</t>
  </si>
  <si>
    <t>Kieseladnavirus</t>
  </si>
  <si>
    <t>Avon-Heathcote Estuary associated kieseladnavirus</t>
  </si>
  <si>
    <t>Protobacilladnavirus</t>
  </si>
  <si>
    <t>Chaetoceros protobacilladnavirus 1</t>
  </si>
  <si>
    <t>Chaetoceros protobacilladnavirus 2</t>
  </si>
  <si>
    <t>Chaetoceros protobacilladnavirus 3</t>
  </si>
  <si>
    <t>Chaetoceros protobacilladnavirus 4</t>
  </si>
  <si>
    <t>Marine protobacilladnavirus 1</t>
  </si>
  <si>
    <t>Snail associated protobacilladnavirus 1</t>
  </si>
  <si>
    <t>Snail associated protobacilladnavirus 2</t>
  </si>
  <si>
    <t>2006.034-039I 04 Alphabaculovirus.pdf</t>
  </si>
  <si>
    <t>2015.002a,bD.A.v2.Alphabaculovirus_sp,ren.pdf</t>
  </si>
  <si>
    <t>2012.001aI.A.v2.Alphabaculovirus-8sp.pdf</t>
  </si>
  <si>
    <t>2016.001aD.A.v2.Alphabaculovirus_sp.pdf</t>
  </si>
  <si>
    <t>2016.004aD.A.v1.Alphabaculovirus_4sp.pdf</t>
  </si>
  <si>
    <t>2015.007aD.A.v2.Alphabaculovirus_sp.pdf</t>
  </si>
  <si>
    <t>2014.002aI.A.v1.Alphabaculovirus-sprem.pdf</t>
  </si>
  <si>
    <t>2015.016aD.A.v2.Alphabaculovirus_sp.pdf</t>
  </si>
  <si>
    <t>2006.033I 04 Betabaculovirus.pdf</t>
  </si>
  <si>
    <t>2015.001aD.A.v2.Betabaculovirus_sp.pdf</t>
  </si>
  <si>
    <t>2016.005aD.A.v1.Betabaculovirus_6sp.pdf</t>
  </si>
  <si>
    <t>Cnaphalocrocis medinalis granulovirus</t>
  </si>
  <si>
    <t>2017.008D.A.v1.Betabaculovirus_2sp1ren.zip</t>
  </si>
  <si>
    <t>2015.011aD.A.v2.Betabaculovirus_sp.pdf</t>
  </si>
  <si>
    <t>Mythimna unipuncta granulovirus A</t>
  </si>
  <si>
    <t>Mythimna unipuncta granulovirus B</t>
  </si>
  <si>
    <t>2015.013aD.A.v2.Betabaculovirus_sp.pdf</t>
  </si>
  <si>
    <t>2006.044-048I 04 Deltabaculovirus.pdf</t>
  </si>
  <si>
    <t>2006.040-043I 04 Gammabaculovirus.pdf</t>
  </si>
  <si>
    <t>Ratification_1993.pdf</t>
  </si>
  <si>
    <t>2013.011a-dP.A.v1.Benyviridae.pdf</t>
  </si>
  <si>
    <t>2007.086-89B.Bicaudavirus.pdf</t>
  </si>
  <si>
    <t>2010.021a-gV.A.v1.Bidnaviridae.pdf</t>
  </si>
  <si>
    <t>ICTV 8th Report.pdf</t>
  </si>
  <si>
    <t>2005.212-5V.04.Blosnavirus.pdf</t>
  </si>
  <si>
    <t>2013.009aP.A.v2.Anulavirus_sp.pdf</t>
  </si>
  <si>
    <t>2004.008-11P.04.Anula.pdf</t>
  </si>
  <si>
    <t>2010.004aP.A.v1.Cucumovirus-1sp.pdf</t>
  </si>
  <si>
    <t>Ageratum latent virus</t>
  </si>
  <si>
    <t>2017.013P.A.v2.Ilarvirus_3sp.zip</t>
  </si>
  <si>
    <t>ICTV 6th Report.pdf</t>
  </si>
  <si>
    <t>2010.005aP.A.v1.Ilarvirus-2sp.pdf</t>
  </si>
  <si>
    <t>2010.016aP.A.v1.Ilarvirus_1sp.pdf</t>
  </si>
  <si>
    <t>Privet ringspot virus</t>
  </si>
  <si>
    <t>Tomato necrotic streak virus</t>
  </si>
  <si>
    <t>Ratification_1997.pdf</t>
  </si>
  <si>
    <t>Newbury 1 virus</t>
  </si>
  <si>
    <t>2012.004aF.A.v2.Chrysovirus-5sp.pdf</t>
  </si>
  <si>
    <t>Penicillium cyaneofulvum virus</t>
  </si>
  <si>
    <t>2014.006a,hD.A.v6.Circovirus_11sp.pdf</t>
  </si>
  <si>
    <t>2016.007a,bD.A.v2.Circovirus_5sp,ren.pdf</t>
  </si>
  <si>
    <t>Bat associated circovirus 9</t>
  </si>
  <si>
    <t>2017.009D.A.v1.Circoviridae_4sp.zip</t>
  </si>
  <si>
    <t>2002.V022-025.Circoviridae.pdf</t>
  </si>
  <si>
    <t>2004.007V.04.Circo.pdf</t>
  </si>
  <si>
    <t>2007.081V.04.SpCircovirus.pdf</t>
  </si>
  <si>
    <t>Porcine circovirus 3</t>
  </si>
  <si>
    <t>2009.006a,bV.v1.Circovirus_Sp.pdf</t>
  </si>
  <si>
    <t>2016.008a,bD.A.v2.Cyclovirus_15sp,ren.pdf</t>
  </si>
  <si>
    <t>Human associated cyclovirus 12</t>
  </si>
  <si>
    <t>Mouse associated cyclovirus 1</t>
  </si>
  <si>
    <t>2010.002a-gB.A.v2.Clavaviridae.pdf</t>
  </si>
  <si>
    <t>2015.024a-cP.A.v2.Closteroviridae_5sp.pdf</t>
  </si>
  <si>
    <t>2012.002abP.A.v2.Ampelovirus_rev-sp.pdf</t>
  </si>
  <si>
    <t>Grapevine leafroll-associated virus 13</t>
  </si>
  <si>
    <t>2017.018P.A.v1.Ampelovirus_sp.zip</t>
  </si>
  <si>
    <t>2009.001a,bP.v1.Ampelovirus-Sp.pdf</t>
  </si>
  <si>
    <t>2008.012P.Ampelovirus-Sp.pdf</t>
  </si>
  <si>
    <t>Ratification_1996.pdf</t>
  </si>
  <si>
    <t>2006.002P.04.ClosteroMint.pdf</t>
  </si>
  <si>
    <t>2010.003aP.A.v1.Closterovirus-2sp.pdf</t>
  </si>
  <si>
    <t>2016.009a-dP.A.v2.Closteroviridae_5sp.pdf</t>
  </si>
  <si>
    <t>2008.013P.Crinivirus-Sp.pdf</t>
  </si>
  <si>
    <t>2007.005P.04.CriniSpBYVaV.pdf</t>
  </si>
  <si>
    <t>2012.009aP.A.v1.Crinivirus-sp.pdf</t>
  </si>
  <si>
    <t>2007.004P.04.CriniSpPYVV.pdf</t>
  </si>
  <si>
    <t>2006.006P.04.CriniSPaV.pdf</t>
  </si>
  <si>
    <t>2012.003aP.A.v1.Closteroviridae-5spres.pdf</t>
  </si>
  <si>
    <t>2006.004P.04.ClosteroMVBaV.pdf</t>
  </si>
  <si>
    <t>2012.001a-fP.A.v7.Velarivirus.pdf</t>
  </si>
  <si>
    <t>Pseudomonas virus phi8</t>
  </si>
  <si>
    <t>2017.016B.A.v1.Cystovirus_6sp.zip</t>
  </si>
  <si>
    <t>Pseudomonas virus phi12</t>
  </si>
  <si>
    <t>Pseudomonas virus phi13</t>
  </si>
  <si>
    <t>Pseudomonas virus phi2954</t>
  </si>
  <si>
    <t>Pseudomonas virus phiNN</t>
  </si>
  <si>
    <t>Pseudomonas virus phiYY</t>
  </si>
  <si>
    <t>2016.020a-gP.A.v4.Endornaviridae_rev.pdf</t>
  </si>
  <si>
    <t>2016.019a,bP.A.v4.Endornaviridae_10sp.pdf</t>
  </si>
  <si>
    <t>Winged bean alphaendornavirus 1</t>
  </si>
  <si>
    <t>2017.012P.A.v1.Endornaviridae_2sp.zip</t>
  </si>
  <si>
    <t>Botrytis cinerea betaendornavirus 1</t>
  </si>
  <si>
    <t>Ratification_1984.pdf</t>
  </si>
  <si>
    <t>ICTV 5th Report.pdf</t>
  </si>
  <si>
    <t>Saint Louis encephalitis virus</t>
  </si>
  <si>
    <t>2016.010a,bS.A.v2.Hepacivirus_13sp1ren.pdf</t>
  </si>
  <si>
    <t>2012.011a-dV.A.v2.Pegivirus.pdf</t>
  </si>
  <si>
    <t>2016.013aS.A.v1.Pegivirus_9sp.pdf</t>
  </si>
  <si>
    <t>Pestivirus A</t>
  </si>
  <si>
    <t>2017.010S.A.v1.Pestivirus_7sp4spren.zip</t>
  </si>
  <si>
    <t>Pestivirus B</t>
  </si>
  <si>
    <t>Pestivirus C</t>
  </si>
  <si>
    <t>Pestivirus D</t>
  </si>
  <si>
    <t>Pestivirus E</t>
  </si>
  <si>
    <t>Pestivirus F</t>
  </si>
  <si>
    <t>Pestivirus G</t>
  </si>
  <si>
    <t>Pestivirus H</t>
  </si>
  <si>
    <t>Pestivirus I</t>
  </si>
  <si>
    <t>Pestivirus J</t>
  </si>
  <si>
    <t>Pestivirus K</t>
  </si>
  <si>
    <t>2011.001a-fB.A.v3.Betafusellovirus.pdf</t>
  </si>
  <si>
    <t>2012.018a-pP.A.v4.Geminiviridae.pdf</t>
  </si>
  <si>
    <t>2015.015a,bP.A.v3.Begomovirus_sprem.pdf</t>
  </si>
  <si>
    <t>2013.015a,bP.A.v2.Begomovirus_100sp.pdf</t>
  </si>
  <si>
    <t>2002.P108-109.Geminiviridae.pdf</t>
  </si>
  <si>
    <t>2005.002P.04.Begomo.pdf</t>
  </si>
  <si>
    <t>2007.001P.04.GeminiSp43.pdf</t>
  </si>
  <si>
    <t>2007.002P.04.Remove6GeminiSp.pdf</t>
  </si>
  <si>
    <t>Allamanda leaf mottle distortion virus</t>
  </si>
  <si>
    <t>2017.010P.A.v1.Begomovirus_66sp.zip</t>
  </si>
  <si>
    <t>2006.001P.04.GeminiSp revised 06.08.pdf</t>
  </si>
  <si>
    <t>Andrographis yellow vein leaf curl virus</t>
  </si>
  <si>
    <t>Asystasia mosaic Madagascar virus</t>
  </si>
  <si>
    <t>Bean white chlorosis mosaic virus</t>
  </si>
  <si>
    <t>2002.P110.Geminiviridae.pdf</t>
  </si>
  <si>
    <t>Cnidoscolus mosaic leaf deformation virus</t>
  </si>
  <si>
    <t>Coccinia mosaic Tamil Nadu virus</t>
  </si>
  <si>
    <t>Common bean mottle virus</t>
  </si>
  <si>
    <t>Common bean severe mosaic virus</t>
  </si>
  <si>
    <t>2011.006a,bP.A.v1_Begomo_rem,ren_Sp.pdf</t>
  </si>
  <si>
    <t>Cotton leaf curl Barasat virus</t>
  </si>
  <si>
    <t>Cotton yellow mosaic virus</t>
  </si>
  <si>
    <t>2003.P009-012.Begomovirus.pdf</t>
  </si>
  <si>
    <t>Deinbollia mosaic virus</t>
  </si>
  <si>
    <t>Desmodium mottle virus</t>
  </si>
  <si>
    <t>Duranta leaf curl virus</t>
  </si>
  <si>
    <t>Euphorbia mosaic Peru virus</t>
  </si>
  <si>
    <t>Euphorbia yellow leaf curl virus</t>
  </si>
  <si>
    <t>Hollyhock yellow vein mosaic virus</t>
  </si>
  <si>
    <t>Jacquemontia yellow mosaic virus</t>
  </si>
  <si>
    <t>Jatropha leaf curl Gujarat virus</t>
  </si>
  <si>
    <t>Jatropha leaf yellow mosaic virus</t>
  </si>
  <si>
    <t>Lisianthus enation leaf curl virus</t>
  </si>
  <si>
    <t>Lycianthes yellow mosaic virus</t>
  </si>
  <si>
    <t>Macroptilium bright mosaic virus</t>
  </si>
  <si>
    <t>Macroptilium common mosaic virus</t>
  </si>
  <si>
    <t>Malvastrum bright yellow mosaic virus</t>
  </si>
  <si>
    <t>Malvastrum yellow vein Cambodia virus</t>
  </si>
  <si>
    <t>Melochia mosaic virus</t>
  </si>
  <si>
    <t>Melochia yellow mosaic virus</t>
  </si>
  <si>
    <t>Mirabilis leaf curl virus</t>
  </si>
  <si>
    <t>Okra leaf curl Oman virus</t>
  </si>
  <si>
    <t>Oxalis yellow vein virus</t>
  </si>
  <si>
    <t>2003.P141.Begomovirus.pdf</t>
  </si>
  <si>
    <t>Passionfruit leaf distortion virus</t>
  </si>
  <si>
    <t>Pavonia mosaic virus</t>
  </si>
  <si>
    <t>Pavonia yellow mosaic virus</t>
  </si>
  <si>
    <t>Pea leaf distortion virus</t>
  </si>
  <si>
    <t>Pedilanthus leaf curl virus</t>
  </si>
  <si>
    <t>2017.011P.A.v2.Gemini_sp_ren.zip</t>
  </si>
  <si>
    <t>Pepper yellow leaf curl Thailand virus</t>
  </si>
  <si>
    <t>Ramie mosaic Yunnan virus</t>
  </si>
  <si>
    <t>Senna leaf curl virus</t>
  </si>
  <si>
    <t>Sida angular mosaic virus</t>
  </si>
  <si>
    <t>Sida bright yellow mosaic virus</t>
  </si>
  <si>
    <t>Sida chlorotic mottle virus</t>
  </si>
  <si>
    <t>Sida chlorotic vein virus</t>
  </si>
  <si>
    <t>Sida golden yellow spot virus</t>
  </si>
  <si>
    <t>Solanum mosaic Bolivia virus</t>
  </si>
  <si>
    <t>Sweet potato golden vein Korea virus</t>
  </si>
  <si>
    <t>Sweet potato leaf curl Guangxi virus</t>
  </si>
  <si>
    <t>Synedrella yellow vein clearing virus</t>
  </si>
  <si>
    <t>Telfairia golden mosaic virus</t>
  </si>
  <si>
    <t>Tomato chlorotic mottle Guyane virus</t>
  </si>
  <si>
    <t>Tomato enation leaf curl virus</t>
  </si>
  <si>
    <t>Tomato golden leaf spot virus</t>
  </si>
  <si>
    <t>Tomato latent virus</t>
  </si>
  <si>
    <t>Tomato leaf curl Burkina Faso virus</t>
  </si>
  <si>
    <t>2003.P142.Begomovirus.pdf</t>
  </si>
  <si>
    <t>Tomato mottle wrinkle virus</t>
  </si>
  <si>
    <t>Tomato yellow leaf curl Shuangbai virus</t>
  </si>
  <si>
    <t>Tomato yellow leaf curl Yunnan virus</t>
  </si>
  <si>
    <t>Triumfetta yellow mosaic virus</t>
  </si>
  <si>
    <t>Velvet bean golden mosaic virus</t>
  </si>
  <si>
    <t>Vernonia crinkle virus</t>
  </si>
  <si>
    <t>Vinca leaf curl virus</t>
  </si>
  <si>
    <t>Whitefly-associated begomovirus 1</t>
  </si>
  <si>
    <t>Whitefly-associated begomovirus 2</t>
  </si>
  <si>
    <t>Whitefly-associated begomovirus 3</t>
  </si>
  <si>
    <t>Whitefly-associated begomovirus 4</t>
  </si>
  <si>
    <t>Whitefly-associated begomovirus 6</t>
  </si>
  <si>
    <t>Whitefly-associated begomovirus 7</t>
  </si>
  <si>
    <t>Wissadula yellow mosaic virus</t>
  </si>
  <si>
    <t>2016.014a-iP.A.v2.Geminiviridae_2gen.pdf</t>
  </si>
  <si>
    <t>2015.016aP.A.v2.Mastrevirus_3sp.pdf</t>
  </si>
  <si>
    <t>2012.019abP.A.v3.Mastrevirus-17sp,rem-2sp.pdf</t>
  </si>
  <si>
    <t>Chickpea yellow dwarf virus</t>
  </si>
  <si>
    <t>2017.008P.A.v2.Mastrevirus_5sp.zip</t>
  </si>
  <si>
    <t>Dragonfly-associated mastrevirus</t>
  </si>
  <si>
    <t>2009.014c-fP.v2.Geminiviridae-4Sp.pdf</t>
  </si>
  <si>
    <t>Sporobolus striate mosaic virus 1</t>
  </si>
  <si>
    <t>Sporobolus striate mosaic virus 2</t>
  </si>
  <si>
    <t>Sugarcane chlorotic streak virus</t>
  </si>
  <si>
    <t>Sugarcane striate virus</t>
  </si>
  <si>
    <t>Sweet potato symptomless virus 1</t>
  </si>
  <si>
    <t>Ratification_1999.pdf</t>
  </si>
  <si>
    <t>Turnip leaf roll virus</t>
  </si>
  <si>
    <t>2017.009P.A.v1.Turncurtovirus_sp.zip</t>
  </si>
  <si>
    <t>2016.001a-agF.A.v6.Genomoviridae.pdf</t>
  </si>
  <si>
    <t>2015.002a-gF.A.v2.Genomoviridae.pdf</t>
  </si>
  <si>
    <t>2005.077-80B.04.Globulovirus.pdf</t>
  </si>
  <si>
    <t>2007.085B.04.TTSV1.pdf</t>
  </si>
  <si>
    <t>2011.009a-eB.A.v2.Betaguttavirus.pdf</t>
  </si>
  <si>
    <t>2016.006aD.A.v2.Avihepadnavirus_sp.pdf</t>
  </si>
  <si>
    <t>2015.009a,bD.A.v3.Orthohepadnavirus_2sp.pdf</t>
  </si>
  <si>
    <t>2016.019aD.A.v1.Orthohepadnavirus_sp.pdf</t>
  </si>
  <si>
    <t>Bluegill hepatitis B virus</t>
  </si>
  <si>
    <t>2017.015D.A.v1.Hepadnaviridae_2sp.zip</t>
  </si>
  <si>
    <t>Tibetan frog hepatitis B virus</t>
  </si>
  <si>
    <t>2016.017aD.A.v2.Hepadnaviridae_sp.pdf</t>
  </si>
  <si>
    <t>2014.008a-hV.A.v6.Hepeviridae.pdf</t>
  </si>
  <si>
    <t>2009.001a-kI.A.v4.Hytrosaviridae.pdf</t>
  </si>
  <si>
    <t>2016.080a-abB.A.v3.Inoviridae_rev.pdf</t>
  </si>
  <si>
    <t>Acholeplasma virus L51</t>
  </si>
  <si>
    <t>2016.009a-kD.A.v2.Iridoviridae_2subf.pdf</t>
  </si>
  <si>
    <t>Common midwife toad virus</t>
  </si>
  <si>
    <t>2017.005D.A.v1.Ranavirus_sp.zip</t>
  </si>
  <si>
    <t>2015.001a-kF.A.v1.Lavidaviridae.pdf</t>
  </si>
  <si>
    <t>2016.002aP.A.v2.Enamovirus_sp.pdf</t>
  </si>
  <si>
    <t>2013.010a,bP.A.v2.Umbravirus_move.pdf</t>
  </si>
  <si>
    <t>Barley yellow dwarf virus kerII</t>
  </si>
  <si>
    <t>Barley yellow dwarf virus kerIII</t>
  </si>
  <si>
    <t>Barley yellow dwarf virus MAV</t>
  </si>
  <si>
    <t>Barley yellow dwarf virus PAS</t>
  </si>
  <si>
    <t>Barley yellow dwarf virus PAV</t>
  </si>
  <si>
    <t>2003.P225.Luteovirus.pdf</t>
  </si>
  <si>
    <t>2008.030-032P.Luteoviridae-4Sp.pdf</t>
  </si>
  <si>
    <t>2005.014P.04.luteo.CRLV.pdf</t>
  </si>
  <si>
    <t>Cereal yellow dwarf virus RPS</t>
  </si>
  <si>
    <t>Cereal yellow dwarf virus RPV</t>
  </si>
  <si>
    <t>2013.017aP.A.v2.Polerovirus_3sp.pdf</t>
  </si>
  <si>
    <t>Maize yellow dwarf virus RMV</t>
  </si>
  <si>
    <t>Maize yellow mosaic virus</t>
  </si>
  <si>
    <t>2017.014P.A.v1.Polerovirus_sp.zip</t>
  </si>
  <si>
    <t>Pepo aphid-borne yellows virus</t>
  </si>
  <si>
    <t>2017.015P.A.v1.Polerovirus_sp.zip</t>
  </si>
  <si>
    <t>2003.P226.Polerovirus.pdf</t>
  </si>
  <si>
    <t>2002.P081-083.Luteoviridae.pdf</t>
  </si>
  <si>
    <t>Barley yellow dwarf virus GPV</t>
  </si>
  <si>
    <t>Barley yellow dwarf virus SGV</t>
  </si>
  <si>
    <t>2012.002a-hF.A.v5.Marseilleviridae.pdf</t>
  </si>
  <si>
    <t>2010.002a-gF.A.v1.Megabirnaviridae.pdf</t>
  </si>
  <si>
    <t>2015.026a-rB.A.v4.Bullavirinae.pdf</t>
  </si>
  <si>
    <t>2011.001a-dF.A.v2.Cafeteriavirus.pdf</t>
  </si>
  <si>
    <t>2005.004F.04.Mimiviridae.pdf</t>
  </si>
  <si>
    <t>2008.028P.Abaca_btv-Sp.pdf</t>
  </si>
  <si>
    <t>2008.029P.Cardamom_bdv-Sp.pdf</t>
  </si>
  <si>
    <t>2015.010aP.A.v1.Nanovirus_2sp.pdf</t>
  </si>
  <si>
    <t>2010.009aP.A.v1.Nanovirus-2sp.pdf</t>
  </si>
  <si>
    <t>2012.008aP.A.v1.Nanovirus-sp.pdf</t>
  </si>
  <si>
    <t>2002.F114-121.Narnaviridae.pdf</t>
  </si>
  <si>
    <t>2007.084I.04NimaName.pdf</t>
  </si>
  <si>
    <t>2013.003a-kI.A.v1.Nudiviridae.pdf</t>
  </si>
  <si>
    <t>Alphainfluenzavirus</t>
  </si>
  <si>
    <t>2017.011M.A.v2.Orthomyxoviridae_ren.zip</t>
  </si>
  <si>
    <t>Betainfluenzavirus</t>
  </si>
  <si>
    <t>Deltainfluenzavirus</t>
  </si>
  <si>
    <t>Gammainfluenzavirus</t>
  </si>
  <si>
    <t>Salmon isavirus</t>
  </si>
  <si>
    <t>Johnston Atoll quaranjavirus</t>
  </si>
  <si>
    <t>Quaranfil quaranjavirus</t>
  </si>
  <si>
    <t>Dhori thogotovirus</t>
  </si>
  <si>
    <t>Thogoto thogotovirus</t>
  </si>
  <si>
    <t>Firstpapillomavirinae</t>
  </si>
  <si>
    <t>2017.010D.A.v1.Papillomaviridae_2subf.zip</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</si>
  <si>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</si>
  <si>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</si>
  <si>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</si>
  <si>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</si>
  <si>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</si>
  <si>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</si>
  <si>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</si>
  <si>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</si>
  <si>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</si>
  <si>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</si>
  <si>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</si>
  <si>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</si>
  <si>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</si>
  <si>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</si>
  <si>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</si>
  <si>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</si>
  <si>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</si>
  <si>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</si>
  <si>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</si>
  <si>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</si>
  <si>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</si>
  <si>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</si>
  <si>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2013.001a-kkF.A.v3.Partitiviridae.pdf</t>
  </si>
  <si>
    <t>2015.003a,bF.A.v3.Partitiviridae_4sp.pdf</t>
  </si>
  <si>
    <t>2008.002-006F.v3.Cryspovirus.pdf</t>
  </si>
  <si>
    <t>Gaeumannomyces graminis virus 0196A</t>
  </si>
  <si>
    <t>Gaeumannomyces graminis virus T1A</t>
  </si>
  <si>
    <t>2016.003a,bD.A.v1.Densovirinae_6sp.pdf</t>
  </si>
  <si>
    <t>2013.001a-aaaV.A.v4.Parvoviridae.pdf</t>
  </si>
  <si>
    <t>Carnivore amdoparvovirus 3</t>
  </si>
  <si>
    <t>2017.002D.A.v1.Amdoparvovirus_2sp.zip</t>
  </si>
  <si>
    <t>Carnivore amdoparvovirus 4</t>
  </si>
  <si>
    <t>Carnivore bocaparvovirus 4</t>
  </si>
  <si>
    <t>2017.003D.A.v2.Bocaparvovirus_9sp.zip</t>
  </si>
  <si>
    <t>Carnivore bocaparvovirus 5</t>
  </si>
  <si>
    <t>Carnivore bocaparvovirus 6</t>
  </si>
  <si>
    <t>Chiropteran bocaparvovirus 1</t>
  </si>
  <si>
    <t>Chiropteran bocaparvovirus 2</t>
  </si>
  <si>
    <t>Chiropteran bocaparvovirus 3</t>
  </si>
  <si>
    <t>Chiropteran bocaparvovirus 4</t>
  </si>
  <si>
    <t>Lagomorph bocaparvovirus 1</t>
  </si>
  <si>
    <t>Ungulate bocaparvovirus 6</t>
  </si>
  <si>
    <t>Chiropteran protoparvovirus 1</t>
  </si>
  <si>
    <t>2017.004D.A.v2.Protoparvovirus_6sp.zip</t>
  </si>
  <si>
    <t>Eulipotyphla protoparvovirus 1</t>
  </si>
  <si>
    <t>Primate protoparvovirus 2</t>
  </si>
  <si>
    <t>Primate protoparvovirus 3</t>
  </si>
  <si>
    <t>Rodent protoparvovirus 3</t>
  </si>
  <si>
    <t>Ungulate protoparvovirus 2</t>
  </si>
  <si>
    <t>2010.004aF.A.v2.Chlorovirus-Sp.pdf</t>
  </si>
  <si>
    <t>2003.F080-083.Coccolithovirus.pdf</t>
  </si>
  <si>
    <t>2003.F195.Phaeovirus.pdf</t>
  </si>
  <si>
    <t>2010.003aF.A.v1.Prasinovirus-sp.pdf</t>
  </si>
  <si>
    <t>2003.F128-131.Raphidovirus.pdf</t>
  </si>
  <si>
    <t>2005.216-22V.04.Picobirna.pdf</t>
  </si>
  <si>
    <t>Chelonus near curvimaculatus bracovirus</t>
  </si>
  <si>
    <t>2015.015a-aaD.A.v2.Polyomaviridae_rev.pdf</t>
  </si>
  <si>
    <t>Piliocolobus badius polyomavirus 1</t>
  </si>
  <si>
    <t>2017.007D.A.v2.Polyomaviridae_sp.zip</t>
  </si>
  <si>
    <t>2016.014aD.A.v1.Alphapolyomavirus_sp.pdf</t>
  </si>
  <si>
    <t>Leptonychotes weddellii polyomavirus 1</t>
  </si>
  <si>
    <t>2016.016aD.A.v1.Betapolyomavirus_2sp.pdf</t>
  </si>
  <si>
    <t>2016.015aD.A.v1.Betapolyomavirus_sp.pdf</t>
  </si>
  <si>
    <t>Rattus norvegicus polyomavirus 2</t>
  </si>
  <si>
    <t>Vicugna pacos polyomavirus 1</t>
  </si>
  <si>
    <t>Erythrura gouldiae polyomavirus 1</t>
  </si>
  <si>
    <t>Lonchura maja polyomavirus 1</t>
  </si>
  <si>
    <t>Rhynchobatus djiddensis polyomavirus 1</t>
  </si>
  <si>
    <t>Trematomus pennellii polyomavirus 1</t>
  </si>
  <si>
    <t>Portogloboviridae</t>
  </si>
  <si>
    <t>Alphaportoglobovirus</t>
  </si>
  <si>
    <t>Sulfolobus alphaportoglobovirus 1</t>
  </si>
  <si>
    <t>2017.002B.A.v2.Portogloboviridae.zip</t>
  </si>
  <si>
    <t>2005.253P.04.CitrusDwarf.pdf</t>
  </si>
  <si>
    <t>2009.013a,bP.v1.Apscaviroid-2Sp.pdf</t>
  </si>
  <si>
    <t>2005.254P.04.CitrusbarkCra.pdf</t>
  </si>
  <si>
    <t>2014.003aP.A.v2.Hostuviroid_sp.pdf</t>
  </si>
  <si>
    <t>2010.010aP.A.v1.Pospiviroid-sp.pdf</t>
  </si>
  <si>
    <t>2014.002aP.A.v1.Pospiviroid_sprem.pdf</t>
  </si>
  <si>
    <t>Bevemovirus</t>
  </si>
  <si>
    <t>Bellflower veinal mottle virus</t>
  </si>
  <si>
    <t>2017.001P.A.v2.Potyviridae_2gen.zip</t>
  </si>
  <si>
    <t>2008.016-020P.v2.Brambyvirus.pdf</t>
  </si>
  <si>
    <t>2003.P016-029.Potyviridae.pdf</t>
  </si>
  <si>
    <t>Coccinia mottle virus</t>
  </si>
  <si>
    <t>2017.007P.A.v1.Potyviridae_9sp.zip</t>
  </si>
  <si>
    <t>2007.072P.04.SpIpomovirus.pdf</t>
  </si>
  <si>
    <t>2013.012a,bP.A.v2.Potyviridae_spmove.pdf</t>
  </si>
  <si>
    <t>2010.001aP.A.v2.Ipomovirus-Sp.pdf</t>
  </si>
  <si>
    <t>2007.071P.04.SpMacluraviruses.pdf</t>
  </si>
  <si>
    <t>2015.003a-dP.A.v2.Potyviridae.pdf</t>
  </si>
  <si>
    <t>2016.007aP.A.v3.Macluravirus_2sp.pdf</t>
  </si>
  <si>
    <t>2015.002aP.A.v2.Poacevirus.pdf</t>
  </si>
  <si>
    <t>2009.004a-iP.A.v2.Poacevirus.pdf</t>
  </si>
  <si>
    <t>2008.002P.Potyvirus-7Sp.pdf</t>
  </si>
  <si>
    <t>2007.073P.04.SpPotyviruses.pdf</t>
  </si>
  <si>
    <t>2009.006a-dP.v2.Potyviridae-10Sp.pdf</t>
  </si>
  <si>
    <t>Barbacena virus Y</t>
  </si>
  <si>
    <t>2014.009aP.A.v4.Potyvirus_12sp.pdf</t>
  </si>
  <si>
    <t>Callistephus mottle virus</t>
  </si>
  <si>
    <t>Daphne virus Y</t>
  </si>
  <si>
    <t>2008.027P.Remove1spPotyvirus.pdf</t>
  </si>
  <si>
    <t>Impatiens flower break virus</t>
  </si>
  <si>
    <t>2016.008a,bP.A.v3.Potyvirus_3sprem.pdf</t>
  </si>
  <si>
    <t>Kalanchoe mosaic virus</t>
  </si>
  <si>
    <t>2007.074P.04.SpRemvoePotyviruses.pdf</t>
  </si>
  <si>
    <t>Pecan mosaic-associated virus</t>
  </si>
  <si>
    <t>2010.020aP.A.v1.Potyvirus_1sp.pdf</t>
  </si>
  <si>
    <t>Sunflower ring blotch virus</t>
  </si>
  <si>
    <t>2010.002aP.A.v2.Potyvirus-Sp.pdf</t>
  </si>
  <si>
    <t>Tobacco mosqueado virus</t>
  </si>
  <si>
    <t>Wild onion symptomless virus</t>
  </si>
  <si>
    <t>2011.004aP.A.v1.Potyvirus_1sp.pdf</t>
  </si>
  <si>
    <t>Roymovirus</t>
  </si>
  <si>
    <t>2014.005aP.A.v1.Tritimovirus_sp.pdf</t>
  </si>
  <si>
    <t>Yellow oat grass mosaic virus</t>
  </si>
  <si>
    <t>Ratification_1978.pdf</t>
  </si>
  <si>
    <t>2016.018a-dD.A.v3.Centapoxvirus.pdf</t>
  </si>
  <si>
    <t>2010.020abV.A.v1.Poxviridae-2sp_ren.pdf</t>
  </si>
  <si>
    <t>2010.019a-eV.A.v1.Crocodylidpoxvirus.pdf</t>
  </si>
  <si>
    <t>Ratification_1990.pdf</t>
  </si>
  <si>
    <t>ICTV 3rd Report.pdf</t>
  </si>
  <si>
    <t>2016.013aD.A.v2.Chordopoxvirinae_sp.pdf</t>
  </si>
  <si>
    <t>2003.V192-194.Entomopoxvirus.pdf</t>
  </si>
  <si>
    <t>2014.001aI.A.v1.Entomopoxvirus-spcorr.pdf</t>
  </si>
  <si>
    <t>2013.002aI.A.v3.Betaentomopoxvirus_3sp.pdf</t>
  </si>
  <si>
    <t>Melanoplus sanguinipes entomopoxvirus</t>
  </si>
  <si>
    <t>2012.001a-gF.A.v4.Quadriviridae.pdf</t>
  </si>
  <si>
    <t>2007.127-129V.v2.Spina-Sedoreovirinae.pdf</t>
  </si>
  <si>
    <t>2014.002aV.A.v2.Rotavirus_3sp.pdf</t>
  </si>
  <si>
    <t>2015.020aM.A.v2.Rotavirus_sp.pdf</t>
  </si>
  <si>
    <t>2015.018aM.A.v2.Fijivirus_sp.pdf</t>
  </si>
  <si>
    <t>Mahlapitsi orthoreovirus</t>
  </si>
  <si>
    <t>2017.018M.A.v1.Orthoreovirus_sp.zip</t>
  </si>
  <si>
    <t>2015.019aM.A.v3.Orthoreovirus_sp.pdf</t>
  </si>
  <si>
    <t>2015.002a-gS.A.v3.Sarthroviridae.pdf</t>
  </si>
  <si>
    <t>Smacoviridae</t>
  </si>
  <si>
    <t>Bovismacovirus</t>
  </si>
  <si>
    <t>Bovine associated bovismacovirus 1</t>
  </si>
  <si>
    <t>2017.011D.A.v2.Smacoviridae.zip</t>
  </si>
  <si>
    <t>Bovine associated bovismacovirus 2</t>
  </si>
  <si>
    <t>Dragonfly associated bovismacovirus 1</t>
  </si>
  <si>
    <t>Cosmacovirus</t>
  </si>
  <si>
    <t>Bovine associated cosmacovirus 1</t>
  </si>
  <si>
    <t>Dragsmacovirus</t>
  </si>
  <si>
    <t>Dragonfly associated dragsmacovirus 1</t>
  </si>
  <si>
    <t>Drosmacovirus</t>
  </si>
  <si>
    <t>Bovine associated drosmacovirus 1</t>
  </si>
  <si>
    <t>Camel associated drosmacovirus 1</t>
  </si>
  <si>
    <t>Camel associated drosmacovirus2</t>
  </si>
  <si>
    <t>Huchismacovirus</t>
  </si>
  <si>
    <t>Bovine associated huchismacovirus 1</t>
  </si>
  <si>
    <t>Bovine associated huchismacovirus 2</t>
  </si>
  <si>
    <t>Chicken associated huchismacovirus 1</t>
  </si>
  <si>
    <t>Chicken associated huchismacovirus 2</t>
  </si>
  <si>
    <t>Human associated huchismacovirus 1</t>
  </si>
  <si>
    <t>Human associated huchismacovirus 2</t>
  </si>
  <si>
    <t>Human associated huchismacovirus 3</t>
  </si>
  <si>
    <t>Porprismacovirus</t>
  </si>
  <si>
    <t>Bovine associated porprismacovirus 1</t>
  </si>
  <si>
    <t>Camel associated porprismacovirus 1</t>
  </si>
  <si>
    <t>Camel associated porprismacovirus 2</t>
  </si>
  <si>
    <t>Camel associated porprismacovirus 3</t>
  </si>
  <si>
    <t>Camel associated porprismacovirus 4</t>
  </si>
  <si>
    <t>Chimpanzee associated porprismacovirus 1</t>
  </si>
  <si>
    <t>Chimpanzee associated porprismacovirus 2</t>
  </si>
  <si>
    <t>Gorilla associated porprismacovirus 1</t>
  </si>
  <si>
    <t>Howler monkey associated porprismacovirus 1</t>
  </si>
  <si>
    <t>Human associated porprismacovirus 1</t>
  </si>
  <si>
    <t>Human associated porprismacovirus 2</t>
  </si>
  <si>
    <t>Lemur associated porprismacovirus 1</t>
  </si>
  <si>
    <t>Porcine associated porprismacovirus 1</t>
  </si>
  <si>
    <t>Porcine associated porprismacovirus 2</t>
  </si>
  <si>
    <t>Porcine associated porprismacovirus 3</t>
  </si>
  <si>
    <t>Porcine associated porprismacovirus 4</t>
  </si>
  <si>
    <t>Porcine associated porprismacovirus 5</t>
  </si>
  <si>
    <t>Porcine associated porprismacovirus 6</t>
  </si>
  <si>
    <t>Porcine associated porprismacovirus 7</t>
  </si>
  <si>
    <t>Porcine associated porprismacovirus 8</t>
  </si>
  <si>
    <t>Porcine associated porprismacovirus 9</t>
  </si>
  <si>
    <t>Porcine associated porprismacovirus 10</t>
  </si>
  <si>
    <t>Rat associated porprismacovirus 1</t>
  </si>
  <si>
    <t>Sheep associated porprismacovirus 1</t>
  </si>
  <si>
    <t>Sheep associated porprismacovirus 2</t>
  </si>
  <si>
    <t>Sheep associated porprismacovirus 3</t>
  </si>
  <si>
    <t>Turkey associated porprismacovirus 1</t>
  </si>
  <si>
    <t>Solemoviridae</t>
  </si>
  <si>
    <t>2017.003P.A.v2.Solemoviridae.zip</t>
  </si>
  <si>
    <t>2016.017a-kS.A.v2.Solinviviridae.pdf</t>
  </si>
  <si>
    <t>2013.001a-oB.A.v4.Sphaerolipoviridae.pdf</t>
  </si>
  <si>
    <t>2016.063aB.A.v1.Alphasphaerolipovirus_sp.pdf</t>
  </si>
  <si>
    <t>2013.003a-gB.A.v3.Spiraviridae.pdf</t>
  </si>
  <si>
    <t>Alphatectivirus</t>
  </si>
  <si>
    <t>Pseudomonas virus PR4</t>
  </si>
  <si>
    <t>2017.013B.A.v2.Tectiviridae_rev.zip</t>
  </si>
  <si>
    <t>Pseudomonas virus PRD1</t>
  </si>
  <si>
    <t>Betatectivirus</t>
  </si>
  <si>
    <t>Bacillus virus GIL16</t>
  </si>
  <si>
    <t>Bacillus virus Wip1</t>
  </si>
  <si>
    <t>Ratification_1974.pdf</t>
  </si>
  <si>
    <t>ICTV 2nd Report.pdf</t>
  </si>
  <si>
    <t>2013.006aV.A.v2.Alphavirus_sp.pdf</t>
  </si>
  <si>
    <t>2012.007aV.A.v1.Alphavirus-sp.pdf</t>
  </si>
  <si>
    <t>Onyong-nyong virus</t>
  </si>
  <si>
    <t>Ratification_1975.pdf</t>
  </si>
  <si>
    <t>2016.021a-kP.A.v2.Tolecusatellitidae.pdf</t>
  </si>
  <si>
    <t>Tomato leaf curl Java betasatellite</t>
  </si>
  <si>
    <t>2015.007a-rP.A.v1.split_Carmovirus.pdf</t>
  </si>
  <si>
    <t>2011.009a-mP.A.v3.split_Necrovirus.pdf</t>
  </si>
  <si>
    <t>2008.007P.Aureusvirus-2Sp.pdf</t>
  </si>
  <si>
    <t>2015.008aP.A.v1.Aureusvirus_sp.pdf</t>
  </si>
  <si>
    <t>2011.010a-eP.A.v3.Gallantivirus.pdf</t>
  </si>
  <si>
    <t>2011.010f-iP.A.v3.Macanavirus.pdf</t>
  </si>
  <si>
    <t>2011.008aP.A.v1.Panicovirus_1sp.pdf</t>
  </si>
  <si>
    <t>2014.007aP.A.v1.Panicovirus_sp.pdf</t>
  </si>
  <si>
    <t>2014.006b-fP.A.v3.Pelarspovirus.pdf</t>
  </si>
  <si>
    <t>2003.P043.Tombusvirus.pdf</t>
  </si>
  <si>
    <t>2007.125P.04.SpRemoveTombusvirus.pdf</t>
  </si>
  <si>
    <t>2005.012P.04.HRV.pdf</t>
  </si>
  <si>
    <t>2007.123P.04.2SpTombusvirus.pdf</t>
  </si>
  <si>
    <t>2016.006aP.A.v1.Umbravirus_2sp.pdf</t>
  </si>
  <si>
    <t>2014.008aP.A.v3.Tombusviridae_sp.pdf</t>
  </si>
  <si>
    <t>2011.005a-eP.A.v2.Zeavirus.pdf</t>
  </si>
  <si>
    <t>2013.003a,bF.A.v2.Leishmaniavirus-remrensp.pdf</t>
  </si>
  <si>
    <t>Saccharomyces cerevisiae virus LBCLa</t>
  </si>
  <si>
    <t>2013.002a-cF.A.v2.Totiviridae-10sp.pdf</t>
  </si>
  <si>
    <t>2010.001a-dF.A.v2.Trichomonasvirus.pdf</t>
  </si>
  <si>
    <t>2007.066-9F.v2.Victorivirus.pdf</t>
  </si>
  <si>
    <t>2016.064a-jB.A.v2.Tristromaviridae.pdf</t>
  </si>
  <si>
    <t>2013.002a-gB.A.v3.Turriviridae.pdf</t>
  </si>
  <si>
    <t>2015.009a-pP.A.v3.Plant_sat_4unassgen.pdf</t>
  </si>
  <si>
    <t>2016.011a-dP.A.v1.Blunervirus.pdf</t>
  </si>
  <si>
    <t>2014.001a-dF.A.v3.Botybirnavirus.pdf</t>
  </si>
  <si>
    <t>2007.031-5P.Cilevirus.pdf</t>
  </si>
  <si>
    <t>2016.010aP.A.v1.Cilevirus_sp.pdf</t>
  </si>
  <si>
    <t>2009.001a-fF.A.v6.Dinodnavirus.pdf</t>
  </si>
  <si>
    <t>2012.011a-dP.A.v3.Higrevirus.pdf</t>
  </si>
  <si>
    <t>Ratification_1987.pdf</t>
  </si>
  <si>
    <t>2003.B038-041.Salterprovirus.pdf</t>
  </si>
  <si>
    <t>2015.005a-dS.A.v2.Sinaivirus.pdf</t>
  </si>
  <si>
    <t>2016.016a-dM.A.v2.Tilapinevirus.pdf</t>
  </si>
  <si>
    <t>2007.036-8P.Virgaviridae.pdf</t>
  </si>
  <si>
    <t>2011.012aP.A.v1.Furovirus_1sp.pdf</t>
  </si>
  <si>
    <t>2015.001a-dP.A.v2.Goravirus.pdf</t>
  </si>
  <si>
    <t>2016.005aP.A.v2.Pomovirus_sp.pdf</t>
  </si>
  <si>
    <t>2012.004aP.A.v3.Tobamovirus-8sp.pdf</t>
  </si>
  <si>
    <t>2009.010a,bP.v1.Tobamovirus-2Sp.pdf</t>
  </si>
  <si>
    <t>Opuntia chlorotic ringspot virus</t>
  </si>
  <si>
    <t>2016.001aP.A.v2.Tobamovirus_2sp.pdf</t>
  </si>
  <si>
    <t>2009.009a,bP.v1.Tobamovirus-Sp.pdf</t>
  </si>
  <si>
    <t>2014.001aP.A.v1.Tobamovirus_2sp.pdf</t>
  </si>
  <si>
    <t>Updates approved during EC 49, Singapore, July 2017; Email ratification 2018</t>
  </si>
  <si>
    <t>Sort</t>
  </si>
  <si>
    <t>https://talk.ictvonline.org/taxonomy/vmr/</t>
  </si>
  <si>
    <t>The Virus Metadata Resource, that contains information on exemplar virus isolates for each species, as well as other respresentative isolates, can be downloaded from:</t>
  </si>
  <si>
    <t>Sorting on this column will recreate the original sort order of the MSL list.</t>
  </si>
  <si>
    <t>Banana bunchy top alphasatellite 2</t>
  </si>
  <si>
    <t>Milk vetch dwarf alphasatellite 2</t>
  </si>
  <si>
    <t>Pea necrotic yellow dwarf alphasatellite 2</t>
  </si>
  <si>
    <t>Sophora yellow stunt alphasatellite 4</t>
  </si>
  <si>
    <t>Sophora yellow stunt alphasatellite 5</t>
  </si>
  <si>
    <t>Milk vetch dwarf alphasatellite 3</t>
  </si>
  <si>
    <t>Milk vetch dwarf alphasatellite 1</t>
  </si>
  <si>
    <t>Pea necrotic yellow dwarf alphasatellite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</si>
</sst>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0" x14ac:knownFonts="1">
    <font>
      <sz val="10"/>
      <name val="Arial"/>
    </font>
    <font>
      <sz val="8"/>
      <name val="Arial"/>
      <family val="2"/>
    </font>
    <font>
      <i/>
      <sz val="10"/>
      <color indexed="8"/>
      <name val="Verdana"/>
      <family val="2"/>
    </font>
    <font>
      <sz val="8"/>
      <name val="Verdana"/>
      <family val="2"/>
    </font>
    <font>
      <sz val="14"/>
      <name val="Arial"/>
      <family val="2"/>
    </font>
    <font>
      <sz val="10"/>
      <color indexed="8"/>
      <name val="Verdana"/>
      <family val="2"/>
    </font>
    <font>
      <b/>
      <i/>
      <sz val="10"/>
      <color indexed="8"/>
      <name val="Verdana"/>
      <family val="2"/>
    </font>
    <font>
      <b/>
      <sz val="10"/>
      <color indexed="8"/>
      <name val="Verdana"/>
      <family val="2"/>
    </font>
    <font>
      <b/>
      <sz val="14"/>
      <color theme="1"/>
      <name val="Arial"/>
      <family val="2"/>
    </font>
    <font>
      <sz val="10"/>
      <color rgb="FF000000"/>
      <name val="Verdana"/>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4"/>
      <name val="Arial"/>
      <family val="2"/>
    </font>
    <font>
      <u/>
      <sz val="14"/>
      <color theme="10"/>
      <name val="Arial"/>
      <family val="2"/>
    </font>
    <font>
      <i/>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13">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s>
  <cellStyleXfs count="3">
    <xf numFmtId="0" fontId="0" fillId="0" borderId="0"/>
    <xf numFmtId="0" fontId="10" fillId="0" borderId="0"/>
    <xf numFmtId="0" fontId="16" fillId="0" borderId="0" applyNumberFormat="0" applyFill="0" applyBorder="0" applyAlignment="0" applyProtection="0"/>
  </cellStyleXfs>
  <cellXfs count="46">
    <xf numFmtId="0" fontId="0" fillId="0" borderId="0" xfId="0"/>
    <xf numFmtId="0" fontId="2" fillId="0" borderId="0" xfId="0" applyFont="1" applyFill="1"/>
    <xf numFmtId="0" fontId="2" fillId="0" borderId="0" xfId="0" applyFont="1" applyFill="1" applyBorder="1"/>
    <xf numFmtId="0" fontId="5" fillId="0" borderId="0" xfId="0" applyFont="1" applyFill="1"/>
    <xf numFmtId="0" fontId="2" fillId="0" borderId="0" xfId="0" applyFont="1" applyFill="1" applyAlignment="1"/>
    <xf numFmtId="0" fontId="4" fillId="0" borderId="0" xfId="0" applyFont="1" applyBorder="1"/>
    <xf numFmtId="0" fontId="4" fillId="0" borderId="0" xfId="0" applyFont="1" applyFill="1" applyBorder="1"/>
    <xf numFmtId="0" fontId="8" fillId="3" borderId="6" xfId="0" applyFont="1" applyFill="1" applyBorder="1" applyAlignment="1">
      <alignment horizontal="left" vertical="center"/>
    </xf>
    <xf numFmtId="49" fontId="5" fillId="0" borderId="0" xfId="0" applyNumberFormat="1" applyFont="1" applyFill="1"/>
    <xf numFmtId="49" fontId="5" fillId="0" borderId="0" xfId="0" applyNumberFormat="1" applyFont="1" applyFill="1" applyAlignment="1"/>
    <xf numFmtId="0" fontId="6" fillId="0" borderId="0" xfId="0" applyFont="1" applyFill="1"/>
    <xf numFmtId="0" fontId="9" fillId="0" borderId="0" xfId="0" applyFont="1" applyFill="1"/>
    <xf numFmtId="0" fontId="2" fillId="0" borderId="0" xfId="0" applyFont="1" applyFill="1" applyAlignment="1">
      <alignment wrapText="1"/>
    </xf>
    <xf numFmtId="49" fontId="11" fillId="0" borderId="0" xfId="1" applyNumberFormat="1" applyFont="1" applyAlignment="1">
      <alignment wrapText="1"/>
    </xf>
    <xf numFmtId="49" fontId="12" fillId="0" borderId="1" xfId="1" applyNumberFormat="1" applyFont="1" applyBorder="1" applyAlignment="1">
      <alignment horizontal="right" vertical="center" wrapText="1"/>
    </xf>
    <xf numFmtId="49" fontId="13" fillId="0" borderId="0" xfId="1" applyNumberFormat="1" applyFont="1" applyAlignment="1">
      <alignment wrapText="1"/>
    </xf>
    <xf numFmtId="49" fontId="12" fillId="0" borderId="2" xfId="1" applyNumberFormat="1" applyFont="1" applyBorder="1" applyAlignment="1">
      <alignment horizontal="right" vertical="center" wrapText="1"/>
    </xf>
    <xf numFmtId="0" fontId="16" fillId="0" borderId="0" xfId="2" applyFill="1"/>
    <xf numFmtId="0" fontId="7" fillId="2" borderId="12" xfId="0" applyFont="1" applyFill="1" applyBorder="1" applyAlignment="1">
      <alignment vertical="center" wrapText="1"/>
    </xf>
    <xf numFmtId="49" fontId="7" fillId="2" borderId="12" xfId="0" applyNumberFormat="1" applyFont="1" applyFill="1" applyBorder="1" applyAlignment="1">
      <alignment vertical="center" wrapText="1"/>
    </xf>
    <xf numFmtId="0" fontId="7" fillId="2" borderId="0" xfId="0" applyFont="1" applyFill="1" applyAlignment="1">
      <alignment vertical="center" wrapText="1"/>
    </xf>
    <xf numFmtId="0" fontId="4" fillId="0" borderId="0" xfId="0" applyFont="1" applyBorder="1" applyAlignment="1">
      <alignment horizontal="left" vertical="center"/>
    </xf>
    <xf numFmtId="0" fontId="11" fillId="3" borderId="7" xfId="0" applyFont="1" applyFill="1" applyBorder="1" applyAlignment="1">
      <alignment horizontal="left" vertical="center"/>
    </xf>
    <xf numFmtId="0" fontId="4" fillId="0" borderId="0" xfId="0" applyFont="1" applyBorder="1" applyAlignment="1">
      <alignment horizontal="left"/>
    </xf>
    <xf numFmtId="0" fontId="4" fillId="0" borderId="0" xfId="0" applyFont="1" applyFill="1" applyBorder="1" applyAlignment="1">
      <alignment horizontal="left" vertical="center"/>
    </xf>
    <xf numFmtId="0" fontId="17" fillId="2" borderId="4" xfId="0" applyFont="1" applyFill="1" applyBorder="1" applyAlignment="1">
      <alignment horizontal="right"/>
    </xf>
    <xf numFmtId="0" fontId="4" fillId="2" borderId="5" xfId="0" applyFont="1" applyFill="1" applyBorder="1"/>
    <xf numFmtId="0" fontId="4" fillId="2" borderId="9" xfId="0" applyFont="1" applyFill="1" applyBorder="1" applyAlignment="1">
      <alignment horizontal="left" vertical="center"/>
    </xf>
    <xf numFmtId="0" fontId="17" fillId="0" borderId="1" xfId="0" applyFont="1" applyFill="1" applyBorder="1" applyAlignment="1">
      <alignment horizontal="right"/>
    </xf>
    <xf numFmtId="164" fontId="4" fillId="0" borderId="8" xfId="0" applyNumberFormat="1" applyFont="1" applyFill="1" applyBorder="1" applyAlignment="1">
      <alignment horizontal="right"/>
    </xf>
    <xf numFmtId="15" fontId="4" fillId="0" borderId="0" xfId="0" applyNumberFormat="1" applyFont="1" applyFill="1" applyBorder="1"/>
    <xf numFmtId="49" fontId="17" fillId="0" borderId="9" xfId="0" applyNumberFormat="1" applyFont="1" applyFill="1" applyBorder="1" applyAlignment="1">
      <alignment horizontal="left" vertical="center"/>
    </xf>
    <xf numFmtId="0" fontId="17" fillId="0" borderId="2" xfId="0" applyFont="1" applyFill="1" applyBorder="1" applyAlignment="1">
      <alignment horizontal="right"/>
    </xf>
    <xf numFmtId="15" fontId="4" fillId="0" borderId="3" xfId="0" applyNumberFormat="1" applyFont="1" applyFill="1" applyBorder="1" applyAlignment="1">
      <alignment horizontal="right"/>
    </xf>
    <xf numFmtId="15" fontId="4" fillId="0" borderId="0" xfId="0" applyNumberFormat="1" applyFont="1" applyFill="1" applyBorder="1" applyAlignment="1">
      <alignment horizontal="right"/>
    </xf>
    <xf numFmtId="0" fontId="4" fillId="0" borderId="11" xfId="0" applyFont="1" applyFill="1" applyBorder="1" applyAlignment="1">
      <alignment horizontal="left" vertical="center"/>
    </xf>
    <xf numFmtId="0" fontId="18" fillId="0" borderId="10" xfId="2" applyFont="1" applyFill="1" applyBorder="1" applyAlignment="1">
      <alignment horizontal="left" vertical="center"/>
    </xf>
    <xf numFmtId="0" fontId="4" fillId="0" borderId="0" xfId="0" applyFont="1" applyBorder="1" applyAlignment="1">
      <alignment wrapText="1"/>
    </xf>
    <xf numFmtId="0" fontId="18" fillId="0" borderId="0" xfId="2" applyFont="1" applyBorder="1"/>
    <xf numFmtId="49" fontId="8" fillId="0" borderId="5" xfId="1" applyNumberFormat="1" applyFont="1" applyBorder="1" applyAlignment="1">
      <alignment vertical="top" wrapText="1"/>
    </xf>
    <xf numFmtId="49" fontId="13" fillId="0" borderId="8" xfId="1" applyNumberFormat="1" applyFont="1" applyBorder="1" applyAlignment="1">
      <alignment vertical="top" wrapText="1"/>
    </xf>
    <xf numFmtId="49" fontId="13" fillId="0" borderId="3" xfId="1" applyNumberFormat="1" applyFont="1" applyBorder="1" applyAlignment="1">
      <alignment vertical="top" wrapText="1"/>
    </xf>
    <xf numFmtId="49" fontId="13" fillId="0" borderId="0" xfId="1" applyNumberFormat="1" applyFont="1" applyAlignment="1">
      <alignment vertical="top" wrapText="1"/>
    </xf>
    <xf numFmtId="49" fontId="8" fillId="0" borderId="4" xfId="1" applyNumberFormat="1" applyFont="1" applyBorder="1" applyAlignment="1">
      <alignment vertical="center" wrapText="1"/>
    </xf>
    <xf numFmtId="49" fontId="13" fillId="0" borderId="0" xfId="1" applyNumberFormat="1" applyFont="1" applyAlignment="1">
      <alignment vertical="center" wrapText="1"/>
    </xf>
    <xf numFmtId="0" fontId="19" fillId="0" borderId="0" xfId="0" applyFont="1"/>
  </cellXfs>
  <cellStyles count="3">
    <cellStyle name="Hyperlink" xfId="2" builtinId="8"/>
    <cellStyle name="Normal" xfId="0" builtinId="0"/>
    <cellStyle name="Normal 2" xfId="1" xr:uid="{00000000-0005-0000-0000-000002000000}"/>
  </cellStyles>
  <dxfs count="6">
    <dxf>
      <font>
        <color rgb="FF006100"/>
      </font>
      <fill>
        <patternFill>
          <bgColor rgb="FFC6EFCE"/>
        </patternFill>
      </fill>
    </dxf>
    <dxf>
      <font>
        <color rgb="FF9C0006"/>
      </font>
      <fill>
        <patternFill>
          <bgColor rgb="FFFFC7CE"/>
        </patternFill>
      </fill>
    </dxf>
    <dxf>
      <font>
        <b val="0"/>
        <i val="0"/>
      </font>
    </dxf>
    <dxf>
      <font>
        <condense val="0"/>
        <extend val="0"/>
        <color indexed="9"/>
      </font>
      <fill>
        <patternFill>
          <bgColor indexed="23"/>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alk.ictvonline.org/taxonomy/vm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2"/>
  <sheetViews>
    <sheetView showGridLines="0" tabSelected="1" workbookViewId="0"/>
  </sheetViews>
  <sheetFormatPr baseColWidth="10" defaultColWidth="11.5" defaultRowHeight="18" x14ac:dyDescent="0.2"/>
  <cols>
    <col min="1" max="1" width="3.33203125" style="5" customWidth="1"/>
    <col min="2" max="2" width="11.83203125" style="5" customWidth="1"/>
    <col min="3" max="3" width="23.5" style="5" customWidth="1"/>
    <col min="4" max="4" width="4.6640625" style="5" customWidth="1"/>
    <col min="5" max="5" width="105" style="21" bestFit="1" customWidth="1"/>
    <col min="6" max="6" width="54.6640625" style="5" customWidth="1"/>
    <col min="7" max="7" width="10.83203125" style="5" customWidth="1"/>
    <col min="8" max="16384" width="11.5" style="5"/>
  </cols>
  <sheetData>
    <row r="1" spans="1:6" ht="19" thickBot="1" x14ac:dyDescent="0.25"/>
    <row r="2" spans="1:6" ht="19" thickBot="1" x14ac:dyDescent="0.25">
      <c r="B2" s="7" t="s">
        <v>5260</v>
      </c>
      <c r="C2" s="22"/>
      <c r="D2" s="22"/>
      <c r="E2" s="22"/>
      <c r="F2" s="23"/>
    </row>
    <row r="3" spans="1:6" ht="19" thickBot="1" x14ac:dyDescent="0.25">
      <c r="A3" s="6"/>
      <c r="B3" s="6"/>
      <c r="C3" s="6"/>
      <c r="D3" s="6"/>
      <c r="E3" s="24"/>
    </row>
    <row r="4" spans="1:6" x14ac:dyDescent="0.2">
      <c r="A4" s="6"/>
      <c r="B4" s="25" t="s">
        <v>419</v>
      </c>
      <c r="C4" s="26">
        <v>1</v>
      </c>
      <c r="D4" s="6"/>
      <c r="E4" s="27" t="str">
        <f>CONCATENATE("Version ",C4)</f>
        <v>Version 1</v>
      </c>
    </row>
    <row r="5" spans="1:6" ht="15" customHeight="1" x14ac:dyDescent="0.2">
      <c r="A5" s="6"/>
      <c r="B5" s="28" t="s">
        <v>1309</v>
      </c>
      <c r="C5" s="29">
        <v>43171</v>
      </c>
      <c r="D5" s="30"/>
      <c r="E5" s="31" t="s">
        <v>5261</v>
      </c>
    </row>
    <row r="6" spans="1:6" ht="19" thickBot="1" x14ac:dyDescent="0.25">
      <c r="A6" s="6"/>
      <c r="B6" s="32" t="s">
        <v>1310</v>
      </c>
      <c r="C6" s="33" t="s">
        <v>1307</v>
      </c>
      <c r="D6" s="34"/>
      <c r="E6" s="35" t="s">
        <v>6513</v>
      </c>
    </row>
    <row r="7" spans="1:6" x14ac:dyDescent="0.2">
      <c r="A7" s="6"/>
      <c r="B7" s="6"/>
      <c r="C7" s="6"/>
      <c r="D7" s="6"/>
      <c r="E7" s="36" t="str">
        <f>HYPERLINK(" http://www.ictvonline.org/","For more information see: http://www.ictvonline.org/")</f>
        <v>For more information see: http://www.ictvonline.org/</v>
      </c>
    </row>
    <row r="8" spans="1:6" x14ac:dyDescent="0.2">
      <c r="A8" s="6"/>
      <c r="B8" s="6"/>
      <c r="C8" s="6"/>
      <c r="D8" s="6"/>
      <c r="E8" s="24"/>
    </row>
    <row r="9" spans="1:6" x14ac:dyDescent="0.2">
      <c r="A9" s="6"/>
      <c r="B9" s="6"/>
      <c r="C9" s="6"/>
      <c r="D9" s="6"/>
      <c r="E9" s="24"/>
    </row>
    <row r="11" spans="1:6" ht="37" customHeight="1" x14ac:dyDescent="0.2">
      <c r="E11" s="37" t="s">
        <v>6516</v>
      </c>
    </row>
    <row r="12" spans="1:6" x14ac:dyDescent="0.2">
      <c r="E12" s="38" t="s">
        <v>6515</v>
      </c>
    </row>
  </sheetData>
  <phoneticPr fontId="3" type="noConversion"/>
  <hyperlinks>
    <hyperlink ref="E12" r:id="rId1" xr:uid="{DCB033E1-6FFA-054A-896F-446A77824F02}"/>
  </hyperlinks>
  <pageMargins left="0.75" right="0.75" top="1" bottom="1" header="0.5" footer="0.5"/>
  <pageSetup orientation="portrait" horizontalDpi="4294967292" verticalDpi="4294967292"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3"/>
  <sheetViews>
    <sheetView showGridLines="0" workbookViewId="0"/>
  </sheetViews>
  <sheetFormatPr baseColWidth="10" defaultColWidth="10.83203125" defaultRowHeight="16" x14ac:dyDescent="0.2"/>
  <cols>
    <col min="1" max="1" width="38.5" style="44" customWidth="1"/>
    <col min="2" max="2" width="59.6640625" style="42" customWidth="1"/>
    <col min="3" max="16384" width="10.83203125" style="15"/>
  </cols>
  <sheetData>
    <row r="1" spans="1:2" s="13" customFormat="1" ht="18" x14ac:dyDescent="0.2">
      <c r="A1" s="43" t="s">
        <v>4193</v>
      </c>
      <c r="B1" s="39" t="s">
        <v>4194</v>
      </c>
    </row>
    <row r="2" spans="1:2" ht="64" x14ac:dyDescent="0.2">
      <c r="A2" s="14" t="s">
        <v>1051</v>
      </c>
      <c r="B2" s="40" t="s">
        <v>4195</v>
      </c>
    </row>
    <row r="3" spans="1:2" ht="64" x14ac:dyDescent="0.2">
      <c r="A3" s="14" t="s">
        <v>1850</v>
      </c>
      <c r="B3" s="40" t="s">
        <v>4196</v>
      </c>
    </row>
    <row r="4" spans="1:2" ht="80" x14ac:dyDescent="0.2">
      <c r="A4" s="14" t="s">
        <v>1851</v>
      </c>
      <c r="B4" s="40" t="s">
        <v>4197</v>
      </c>
    </row>
    <row r="5" spans="1:2" ht="48" x14ac:dyDescent="0.2">
      <c r="A5" s="14" t="s">
        <v>1852</v>
      </c>
      <c r="B5" s="40" t="s">
        <v>4198</v>
      </c>
    </row>
    <row r="6" spans="1:2" ht="80" x14ac:dyDescent="0.2">
      <c r="A6" s="14" t="s">
        <v>1853</v>
      </c>
      <c r="B6" s="40" t="s">
        <v>4199</v>
      </c>
    </row>
    <row r="7" spans="1:2" ht="64" x14ac:dyDescent="0.2">
      <c r="A7" s="14" t="s">
        <v>2780</v>
      </c>
      <c r="B7" s="40" t="s">
        <v>4200</v>
      </c>
    </row>
    <row r="8" spans="1:2" ht="224" x14ac:dyDescent="0.2">
      <c r="A8" s="14" t="s">
        <v>2779</v>
      </c>
      <c r="B8" s="40" t="s">
        <v>4201</v>
      </c>
    </row>
    <row r="9" spans="1:2" ht="176" x14ac:dyDescent="0.2">
      <c r="A9" s="14" t="s">
        <v>2782</v>
      </c>
      <c r="B9" s="40" t="s">
        <v>4202</v>
      </c>
    </row>
    <row r="10" spans="1:2" ht="64" x14ac:dyDescent="0.2">
      <c r="A10" s="14" t="s">
        <v>4206</v>
      </c>
      <c r="B10" s="40" t="s">
        <v>4203</v>
      </c>
    </row>
    <row r="11" spans="1:2" ht="80" x14ac:dyDescent="0.2">
      <c r="A11" s="14" t="s">
        <v>5646</v>
      </c>
      <c r="B11" s="40" t="s">
        <v>4204</v>
      </c>
    </row>
    <row r="12" spans="1:2" ht="64" x14ac:dyDescent="0.2">
      <c r="A12" s="14" t="s">
        <v>2781</v>
      </c>
      <c r="B12" s="40" t="s">
        <v>4205</v>
      </c>
    </row>
    <row r="13" spans="1:2" ht="33" thickBot="1" x14ac:dyDescent="0.25">
      <c r="A13" s="16" t="s">
        <v>6514</v>
      </c>
      <c r="B13" s="41" t="s">
        <v>6517</v>
      </c>
    </row>
  </sheetData>
  <pageMargins left="0.7" right="0.7" top="0.75" bottom="0.75"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4854"/>
  <sheetViews>
    <sheetView workbookViewId="0">
      <pane ySplit="1" topLeftCell="A2" activePane="bottomLeft" state="frozen"/>
      <selection pane="bottomLeft"/>
    </sheetView>
  </sheetViews>
  <sheetFormatPr baseColWidth="10" defaultColWidth="8.83203125" defaultRowHeight="13" x14ac:dyDescent="0.15"/>
  <cols>
    <col min="1" max="1" width="15.83203125" style="1" bestFit="1" customWidth="1"/>
    <col min="2" max="2" width="18.83203125" style="1" bestFit="1" customWidth="1"/>
    <col min="3" max="3" width="19.6640625" style="1" bestFit="1" customWidth="1"/>
    <col min="4" max="4" width="24" style="1" bestFit="1" customWidth="1"/>
    <col min="5" max="5" width="60.6640625" style="1" bestFit="1" customWidth="1"/>
    <col min="6" max="6" width="9.1640625" style="3" bestFit="1" customWidth="1"/>
    <col min="7" max="7" width="16" style="8" bestFit="1" customWidth="1"/>
    <col min="8" max="8" width="15.33203125" style="8" customWidth="1"/>
    <col min="9" max="9" width="10.33203125" style="3" customWidth="1"/>
    <col min="10" max="10" width="48.6640625" style="3" bestFit="1" customWidth="1"/>
    <col min="11" max="11" width="21" style="17" bestFit="1" customWidth="1"/>
    <col min="12" max="12" width="8.83203125" style="3"/>
    <col min="13" max="16384" width="8.83203125" style="1"/>
  </cols>
  <sheetData>
    <row r="1" spans="1:12" s="12" customFormat="1" ht="39" x14ac:dyDescent="0.15">
      <c r="A1" s="18" t="s">
        <v>1051</v>
      </c>
      <c r="B1" s="18" t="s">
        <v>1850</v>
      </c>
      <c r="C1" s="18" t="s">
        <v>1851</v>
      </c>
      <c r="D1" s="18" t="s">
        <v>1852</v>
      </c>
      <c r="E1" s="18" t="s">
        <v>1853</v>
      </c>
      <c r="F1" s="18" t="s">
        <v>2780</v>
      </c>
      <c r="G1" s="19" t="s">
        <v>2779</v>
      </c>
      <c r="H1" s="18" t="s">
        <v>2782</v>
      </c>
      <c r="I1" s="18" t="s">
        <v>4206</v>
      </c>
      <c r="J1" s="18" t="s">
        <v>5646</v>
      </c>
      <c r="K1" s="18" t="s">
        <v>2781</v>
      </c>
      <c r="L1" s="20" t="s">
        <v>6514</v>
      </c>
    </row>
    <row r="2" spans="1:12" x14ac:dyDescent="0.15">
      <c r="A2" s="1" t="s">
        <v>4268</v>
      </c>
      <c r="B2" s="1" t="s">
        <v>4309</v>
      </c>
      <c r="D2" s="1" t="s">
        <v>4310</v>
      </c>
      <c r="E2" s="1" t="s">
        <v>4311</v>
      </c>
      <c r="F2" s="3">
        <v>1</v>
      </c>
      <c r="G2" s="8" t="s">
        <v>2772</v>
      </c>
      <c r="H2" s="8" t="s">
        <v>5159</v>
      </c>
      <c r="I2" s="3">
        <v>31</v>
      </c>
      <c r="J2" s="3" t="s">
        <v>5262</v>
      </c>
      <c r="K2" s="17" t="str">
        <f>HYPERLINK("http://ictvonline.org/taxonomyHistory.asp?taxnode_id=20170005","ICTVonline=20170005")</f>
        <v>ICTVonline=20170005</v>
      </c>
      <c r="L2" s="3">
        <v>1</v>
      </c>
    </row>
    <row r="3" spans="1:12" x14ac:dyDescent="0.15">
      <c r="A3" s="1" t="s">
        <v>4268</v>
      </c>
      <c r="B3" s="1" t="s">
        <v>4269</v>
      </c>
      <c r="D3" s="1" t="s">
        <v>553</v>
      </c>
      <c r="E3" s="1" t="s">
        <v>4312</v>
      </c>
      <c r="F3" s="3">
        <v>0</v>
      </c>
      <c r="G3" s="8" t="s">
        <v>2772</v>
      </c>
      <c r="H3" s="8" t="s">
        <v>5159</v>
      </c>
      <c r="I3" s="3">
        <v>31</v>
      </c>
      <c r="J3" s="3" t="s">
        <v>5263</v>
      </c>
      <c r="K3" s="17" t="str">
        <f>HYPERLINK("http://ictvonline.org/taxonomyHistory.asp?taxnode_id=20170009","ICTVonline=20170009")</f>
        <v>ICTVonline=20170009</v>
      </c>
      <c r="L3" s="3">
        <v>2</v>
      </c>
    </row>
    <row r="4" spans="1:12" x14ac:dyDescent="0.15">
      <c r="A4" s="1" t="s">
        <v>4268</v>
      </c>
      <c r="B4" s="1" t="s">
        <v>4269</v>
      </c>
      <c r="D4" s="1" t="s">
        <v>553</v>
      </c>
      <c r="E4" s="1" t="s">
        <v>4207</v>
      </c>
      <c r="F4" s="3">
        <v>1</v>
      </c>
      <c r="G4" s="8" t="s">
        <v>2772</v>
      </c>
      <c r="H4" s="8" t="s">
        <v>5160</v>
      </c>
      <c r="I4" s="3">
        <v>31</v>
      </c>
      <c r="J4" s="3" t="s">
        <v>5264</v>
      </c>
      <c r="K4" s="17" t="str">
        <f>HYPERLINK("http://ictvonline.org/taxonomyHistory.asp?taxnode_id=20170010","ICTVonline=20170010")</f>
        <v>ICTVonline=20170010</v>
      </c>
      <c r="L4" s="3">
        <v>3</v>
      </c>
    </row>
    <row r="5" spans="1:12" x14ac:dyDescent="0.15">
      <c r="A5" s="1" t="s">
        <v>4268</v>
      </c>
      <c r="B5" s="1" t="s">
        <v>4269</v>
      </c>
      <c r="D5" s="1" t="s">
        <v>553</v>
      </c>
      <c r="E5" s="1" t="s">
        <v>4208</v>
      </c>
      <c r="F5" s="3">
        <v>0</v>
      </c>
      <c r="G5" s="8" t="s">
        <v>2772</v>
      </c>
      <c r="H5" s="8" t="s">
        <v>5160</v>
      </c>
      <c r="I5" s="3">
        <v>31</v>
      </c>
      <c r="J5" s="3" t="s">
        <v>5264</v>
      </c>
      <c r="K5" s="17" t="str">
        <f>HYPERLINK("http://ictvonline.org/taxonomyHistory.asp?taxnode_id=20170011","ICTVonline=20170011")</f>
        <v>ICTVonline=20170011</v>
      </c>
      <c r="L5" s="3">
        <v>4</v>
      </c>
    </row>
    <row r="6" spans="1:12" x14ac:dyDescent="0.15">
      <c r="A6" s="1" t="s">
        <v>4268</v>
      </c>
      <c r="B6" s="1" t="s">
        <v>4269</v>
      </c>
      <c r="D6" s="1" t="s">
        <v>553</v>
      </c>
      <c r="E6" s="1" t="s">
        <v>4209</v>
      </c>
      <c r="F6" s="3">
        <v>0</v>
      </c>
      <c r="G6" s="8" t="s">
        <v>2772</v>
      </c>
      <c r="H6" s="8" t="s">
        <v>5160</v>
      </c>
      <c r="I6" s="3">
        <v>31</v>
      </c>
      <c r="J6" s="3" t="s">
        <v>5264</v>
      </c>
      <c r="K6" s="17" t="str">
        <f>HYPERLINK("http://ictvonline.org/taxonomyHistory.asp?taxnode_id=20170012","ICTVonline=20170012")</f>
        <v>ICTVonline=20170012</v>
      </c>
      <c r="L6" s="3">
        <v>5</v>
      </c>
    </row>
    <row r="7" spans="1:12" x14ac:dyDescent="0.15">
      <c r="A7" s="1" t="s">
        <v>4268</v>
      </c>
      <c r="B7" s="1" t="s">
        <v>4269</v>
      </c>
      <c r="D7" s="1" t="s">
        <v>553</v>
      </c>
      <c r="E7" s="1" t="s">
        <v>4210</v>
      </c>
      <c r="F7" s="3">
        <v>0</v>
      </c>
      <c r="G7" s="8" t="s">
        <v>2772</v>
      </c>
      <c r="H7" s="8" t="s">
        <v>5160</v>
      </c>
      <c r="I7" s="3">
        <v>31</v>
      </c>
      <c r="J7" s="3" t="s">
        <v>5264</v>
      </c>
      <c r="K7" s="17" t="str">
        <f>HYPERLINK("http://ictvonline.org/taxonomyHistory.asp?taxnode_id=20170013","ICTVonline=20170013")</f>
        <v>ICTVonline=20170013</v>
      </c>
      <c r="L7" s="3">
        <v>6</v>
      </c>
    </row>
    <row r="8" spans="1:12" x14ac:dyDescent="0.15">
      <c r="A8" s="1" t="s">
        <v>4268</v>
      </c>
      <c r="B8" s="1" t="s">
        <v>4269</v>
      </c>
      <c r="D8" s="1" t="s">
        <v>553</v>
      </c>
      <c r="E8" s="1" t="s">
        <v>4313</v>
      </c>
      <c r="F8" s="3">
        <v>0</v>
      </c>
      <c r="G8" s="8" t="s">
        <v>2772</v>
      </c>
      <c r="H8" s="8" t="s">
        <v>5159</v>
      </c>
      <c r="I8" s="3">
        <v>31</v>
      </c>
      <c r="J8" s="3" t="s">
        <v>5265</v>
      </c>
      <c r="K8" s="17" t="str">
        <f>HYPERLINK("http://ictvonline.org/taxonomyHistory.asp?taxnode_id=20170014","ICTVonline=20170014")</f>
        <v>ICTVonline=20170014</v>
      </c>
      <c r="L8" s="3">
        <v>7</v>
      </c>
    </row>
    <row r="9" spans="1:12" x14ac:dyDescent="0.15">
      <c r="A9" s="1" t="s">
        <v>4268</v>
      </c>
      <c r="B9" s="1" t="s">
        <v>4269</v>
      </c>
      <c r="D9" s="1" t="s">
        <v>553</v>
      </c>
      <c r="E9" s="1" t="s">
        <v>4211</v>
      </c>
      <c r="F9" s="3">
        <v>0</v>
      </c>
      <c r="G9" s="8" t="s">
        <v>2772</v>
      </c>
      <c r="H9" s="8" t="s">
        <v>5160</v>
      </c>
      <c r="I9" s="3">
        <v>31</v>
      </c>
      <c r="J9" s="3" t="s">
        <v>5264</v>
      </c>
      <c r="K9" s="17" t="str">
        <f>HYPERLINK("http://ictvonline.org/taxonomyHistory.asp?taxnode_id=20170015","ICTVonline=20170015")</f>
        <v>ICTVonline=20170015</v>
      </c>
      <c r="L9" s="3">
        <v>8</v>
      </c>
    </row>
    <row r="10" spans="1:12" x14ac:dyDescent="0.15">
      <c r="A10" s="1" t="s">
        <v>4268</v>
      </c>
      <c r="B10" s="1" t="s">
        <v>4269</v>
      </c>
      <c r="D10" s="1" t="s">
        <v>553</v>
      </c>
      <c r="E10" s="1" t="s">
        <v>4314</v>
      </c>
      <c r="F10" s="3">
        <v>0</v>
      </c>
      <c r="G10" s="8" t="s">
        <v>2772</v>
      </c>
      <c r="H10" s="8" t="s">
        <v>5159</v>
      </c>
      <c r="I10" s="3">
        <v>31</v>
      </c>
      <c r="J10" s="3" t="s">
        <v>5266</v>
      </c>
      <c r="K10" s="17" t="str">
        <f>HYPERLINK("http://ictvonline.org/taxonomyHistory.asp?taxnode_id=20170016","ICTVonline=20170016")</f>
        <v>ICTVonline=20170016</v>
      </c>
      <c r="L10" s="3">
        <v>9</v>
      </c>
    </row>
    <row r="11" spans="1:12" x14ac:dyDescent="0.15">
      <c r="A11" s="1" t="s">
        <v>4268</v>
      </c>
      <c r="B11" s="1" t="s">
        <v>4269</v>
      </c>
      <c r="D11" s="1" t="s">
        <v>553</v>
      </c>
      <c r="E11" s="1" t="s">
        <v>4212</v>
      </c>
      <c r="F11" s="3">
        <v>0</v>
      </c>
      <c r="G11" s="8" t="s">
        <v>2772</v>
      </c>
      <c r="H11" s="8" t="s">
        <v>5160</v>
      </c>
      <c r="I11" s="3">
        <v>31</v>
      </c>
      <c r="J11" s="3" t="s">
        <v>5264</v>
      </c>
      <c r="K11" s="17" t="str">
        <f>HYPERLINK("http://ictvonline.org/taxonomyHistory.asp?taxnode_id=20170017","ICTVonline=20170017")</f>
        <v>ICTVonline=20170017</v>
      </c>
      <c r="L11" s="3">
        <v>10</v>
      </c>
    </row>
    <row r="12" spans="1:12" x14ac:dyDescent="0.15">
      <c r="A12" s="1" t="s">
        <v>4268</v>
      </c>
      <c r="B12" s="1" t="s">
        <v>4270</v>
      </c>
      <c r="D12" s="1" t="s">
        <v>4271</v>
      </c>
      <c r="E12" s="1" t="s">
        <v>4315</v>
      </c>
      <c r="F12" s="3">
        <v>0</v>
      </c>
      <c r="G12" s="8" t="s">
        <v>2772</v>
      </c>
      <c r="H12" s="8" t="s">
        <v>5159</v>
      </c>
      <c r="I12" s="3">
        <v>31</v>
      </c>
      <c r="J12" s="3" t="s">
        <v>5267</v>
      </c>
      <c r="K12" s="17" t="str">
        <f>HYPERLINK("http://ictvonline.org/taxonomyHistory.asp?taxnode_id=20170021","ICTVonline=20170021")</f>
        <v>ICTVonline=20170021</v>
      </c>
      <c r="L12" s="3">
        <v>11</v>
      </c>
    </row>
    <row r="13" spans="1:12" x14ac:dyDescent="0.15">
      <c r="A13" s="1" t="s">
        <v>4268</v>
      </c>
      <c r="B13" s="1" t="s">
        <v>4270</v>
      </c>
      <c r="D13" s="1" t="s">
        <v>4271</v>
      </c>
      <c r="E13" s="1" t="s">
        <v>4213</v>
      </c>
      <c r="F13" s="3">
        <v>0</v>
      </c>
      <c r="G13" s="8" t="s">
        <v>2772</v>
      </c>
      <c r="H13" s="8" t="s">
        <v>5160</v>
      </c>
      <c r="I13" s="3">
        <v>31</v>
      </c>
      <c r="J13" s="3" t="s">
        <v>5264</v>
      </c>
      <c r="K13" s="17" t="str">
        <f>HYPERLINK("http://ictvonline.org/taxonomyHistory.asp?taxnode_id=20170022","ICTVonline=20170022")</f>
        <v>ICTVonline=20170022</v>
      </c>
      <c r="L13" s="3">
        <v>12</v>
      </c>
    </row>
    <row r="14" spans="1:12" x14ac:dyDescent="0.15">
      <c r="A14" s="1" t="s">
        <v>4268</v>
      </c>
      <c r="B14" s="1" t="s">
        <v>4270</v>
      </c>
      <c r="D14" s="1" t="s">
        <v>4271</v>
      </c>
      <c r="E14" s="1" t="s">
        <v>4316</v>
      </c>
      <c r="F14" s="3">
        <v>0</v>
      </c>
      <c r="G14" s="8" t="s">
        <v>2772</v>
      </c>
      <c r="H14" s="8" t="s">
        <v>5159</v>
      </c>
      <c r="I14" s="3">
        <v>31</v>
      </c>
      <c r="J14" s="3" t="s">
        <v>5267</v>
      </c>
      <c r="K14" s="17" t="str">
        <f>HYPERLINK("http://ictvonline.org/taxonomyHistory.asp?taxnode_id=20170023","ICTVonline=20170023")</f>
        <v>ICTVonline=20170023</v>
      </c>
      <c r="L14" s="3">
        <v>13</v>
      </c>
    </row>
    <row r="15" spans="1:12" x14ac:dyDescent="0.15">
      <c r="A15" s="1" t="s">
        <v>4268</v>
      </c>
      <c r="B15" s="1" t="s">
        <v>4270</v>
      </c>
      <c r="D15" s="1" t="s">
        <v>4271</v>
      </c>
      <c r="E15" s="1" t="s">
        <v>4317</v>
      </c>
      <c r="F15" s="3">
        <v>0</v>
      </c>
      <c r="G15" s="8" t="s">
        <v>2772</v>
      </c>
      <c r="H15" s="8" t="s">
        <v>5159</v>
      </c>
      <c r="I15" s="3">
        <v>31</v>
      </c>
      <c r="J15" s="3" t="s">
        <v>5267</v>
      </c>
      <c r="K15" s="17" t="str">
        <f>HYPERLINK("http://ictvonline.org/taxonomyHistory.asp?taxnode_id=20170024","ICTVonline=20170024")</f>
        <v>ICTVonline=20170024</v>
      </c>
      <c r="L15" s="3">
        <v>14</v>
      </c>
    </row>
    <row r="16" spans="1:12" x14ac:dyDescent="0.15">
      <c r="A16" s="1" t="s">
        <v>4268</v>
      </c>
      <c r="B16" s="1" t="s">
        <v>4270</v>
      </c>
      <c r="D16" s="1" t="s">
        <v>4271</v>
      </c>
      <c r="E16" s="1" t="s">
        <v>4214</v>
      </c>
      <c r="F16" s="3">
        <v>0</v>
      </c>
      <c r="G16" s="8" t="s">
        <v>2772</v>
      </c>
      <c r="H16" s="8" t="s">
        <v>5160</v>
      </c>
      <c r="I16" s="3">
        <v>31</v>
      </c>
      <c r="J16" s="3" t="s">
        <v>5264</v>
      </c>
      <c r="K16" s="17" t="str">
        <f>HYPERLINK("http://ictvonline.org/taxonomyHistory.asp?taxnode_id=20170025","ICTVonline=20170025")</f>
        <v>ICTVonline=20170025</v>
      </c>
      <c r="L16" s="3">
        <v>15</v>
      </c>
    </row>
    <row r="17" spans="1:12" x14ac:dyDescent="0.15">
      <c r="A17" s="1" t="s">
        <v>4268</v>
      </c>
      <c r="B17" s="1" t="s">
        <v>4270</v>
      </c>
      <c r="D17" s="1" t="s">
        <v>4271</v>
      </c>
      <c r="E17" s="1" t="s">
        <v>4215</v>
      </c>
      <c r="F17" s="3">
        <v>0</v>
      </c>
      <c r="G17" s="8" t="s">
        <v>2772</v>
      </c>
      <c r="H17" s="8" t="s">
        <v>5160</v>
      </c>
      <c r="I17" s="3">
        <v>31</v>
      </c>
      <c r="J17" s="3" t="s">
        <v>5264</v>
      </c>
      <c r="K17" s="17" t="str">
        <f>HYPERLINK("http://ictvonline.org/taxonomyHistory.asp?taxnode_id=20170026","ICTVonline=20170026")</f>
        <v>ICTVonline=20170026</v>
      </c>
      <c r="L17" s="3">
        <v>16</v>
      </c>
    </row>
    <row r="18" spans="1:12" x14ac:dyDescent="0.15">
      <c r="A18" s="1" t="s">
        <v>4268</v>
      </c>
      <c r="B18" s="1" t="s">
        <v>4270</v>
      </c>
      <c r="D18" s="1" t="s">
        <v>4271</v>
      </c>
      <c r="E18" s="1" t="s">
        <v>4318</v>
      </c>
      <c r="F18" s="3">
        <v>0</v>
      </c>
      <c r="G18" s="8" t="s">
        <v>2772</v>
      </c>
      <c r="H18" s="8" t="s">
        <v>5159</v>
      </c>
      <c r="I18" s="3">
        <v>31</v>
      </c>
      <c r="J18" s="3" t="s">
        <v>5267</v>
      </c>
      <c r="K18" s="17" t="str">
        <f>HYPERLINK("http://ictvonline.org/taxonomyHistory.asp?taxnode_id=20170027","ICTVonline=20170027")</f>
        <v>ICTVonline=20170027</v>
      </c>
      <c r="L18" s="3">
        <v>17</v>
      </c>
    </row>
    <row r="19" spans="1:12" x14ac:dyDescent="0.15">
      <c r="A19" s="1" t="s">
        <v>4268</v>
      </c>
      <c r="B19" s="1" t="s">
        <v>4270</v>
      </c>
      <c r="D19" s="1" t="s">
        <v>4271</v>
      </c>
      <c r="E19" s="1" t="s">
        <v>4319</v>
      </c>
      <c r="F19" s="3">
        <v>0</v>
      </c>
      <c r="G19" s="8" t="s">
        <v>2772</v>
      </c>
      <c r="H19" s="8" t="s">
        <v>5159</v>
      </c>
      <c r="I19" s="3">
        <v>31</v>
      </c>
      <c r="J19" s="3" t="s">
        <v>5267</v>
      </c>
      <c r="K19" s="17" t="str">
        <f>HYPERLINK("http://ictvonline.org/taxonomyHistory.asp?taxnode_id=20170028","ICTVonline=20170028")</f>
        <v>ICTVonline=20170028</v>
      </c>
      <c r="L19" s="3">
        <v>18</v>
      </c>
    </row>
    <row r="20" spans="1:12" x14ac:dyDescent="0.15">
      <c r="A20" s="1" t="s">
        <v>4268</v>
      </c>
      <c r="B20" s="1" t="s">
        <v>4270</v>
      </c>
      <c r="D20" s="1" t="s">
        <v>4271</v>
      </c>
      <c r="E20" s="1" t="s">
        <v>4216</v>
      </c>
      <c r="F20" s="3">
        <v>0</v>
      </c>
      <c r="G20" s="8" t="s">
        <v>2772</v>
      </c>
      <c r="H20" s="8" t="s">
        <v>5160</v>
      </c>
      <c r="I20" s="3">
        <v>31</v>
      </c>
      <c r="J20" s="3" t="s">
        <v>5264</v>
      </c>
      <c r="K20" s="17" t="str">
        <f>HYPERLINK("http://ictvonline.org/taxonomyHistory.asp?taxnode_id=20170029","ICTVonline=20170029")</f>
        <v>ICTVonline=20170029</v>
      </c>
      <c r="L20" s="3">
        <v>19</v>
      </c>
    </row>
    <row r="21" spans="1:12" x14ac:dyDescent="0.15">
      <c r="A21" s="1" t="s">
        <v>4268</v>
      </c>
      <c r="B21" s="1" t="s">
        <v>4270</v>
      </c>
      <c r="D21" s="1" t="s">
        <v>4271</v>
      </c>
      <c r="E21" s="1" t="s">
        <v>4320</v>
      </c>
      <c r="F21" s="3">
        <v>0</v>
      </c>
      <c r="G21" s="8" t="s">
        <v>2772</v>
      </c>
      <c r="H21" s="8" t="s">
        <v>5159</v>
      </c>
      <c r="I21" s="3">
        <v>31</v>
      </c>
      <c r="J21" s="3" t="s">
        <v>5267</v>
      </c>
      <c r="K21" s="17" t="str">
        <f>HYPERLINK("http://ictvonline.org/taxonomyHistory.asp?taxnode_id=20170030","ICTVonline=20170030")</f>
        <v>ICTVonline=20170030</v>
      </c>
      <c r="L21" s="3">
        <v>20</v>
      </c>
    </row>
    <row r="22" spans="1:12" x14ac:dyDescent="0.15">
      <c r="A22" s="1" t="s">
        <v>4268</v>
      </c>
      <c r="B22" s="1" t="s">
        <v>4270</v>
      </c>
      <c r="D22" s="1" t="s">
        <v>4271</v>
      </c>
      <c r="E22" s="1" t="s">
        <v>4321</v>
      </c>
      <c r="F22" s="3">
        <v>0</v>
      </c>
      <c r="G22" s="8" t="s">
        <v>2772</v>
      </c>
      <c r="H22" s="8" t="s">
        <v>5159</v>
      </c>
      <c r="I22" s="3">
        <v>31</v>
      </c>
      <c r="J22" s="3" t="s">
        <v>5267</v>
      </c>
      <c r="K22" s="17" t="str">
        <f>HYPERLINK("http://ictvonline.org/taxonomyHistory.asp?taxnode_id=20170031","ICTVonline=20170031")</f>
        <v>ICTVonline=20170031</v>
      </c>
      <c r="L22" s="3">
        <v>21</v>
      </c>
    </row>
    <row r="23" spans="1:12" x14ac:dyDescent="0.15">
      <c r="A23" s="1" t="s">
        <v>4268</v>
      </c>
      <c r="B23" s="1" t="s">
        <v>4270</v>
      </c>
      <c r="D23" s="1" t="s">
        <v>4271</v>
      </c>
      <c r="E23" s="1" t="s">
        <v>4322</v>
      </c>
      <c r="F23" s="3">
        <v>0</v>
      </c>
      <c r="G23" s="8" t="s">
        <v>2772</v>
      </c>
      <c r="H23" s="8" t="s">
        <v>5159</v>
      </c>
      <c r="I23" s="3">
        <v>31</v>
      </c>
      <c r="J23" s="3" t="s">
        <v>5267</v>
      </c>
      <c r="K23" s="17" t="str">
        <f>HYPERLINK("http://ictvonline.org/taxonomyHistory.asp?taxnode_id=20170032","ICTVonline=20170032")</f>
        <v>ICTVonline=20170032</v>
      </c>
      <c r="L23" s="3">
        <v>22</v>
      </c>
    </row>
    <row r="24" spans="1:12" x14ac:dyDescent="0.15">
      <c r="A24" s="1" t="s">
        <v>4268</v>
      </c>
      <c r="B24" s="1" t="s">
        <v>4270</v>
      </c>
      <c r="D24" s="1" t="s">
        <v>4271</v>
      </c>
      <c r="E24" s="1" t="s">
        <v>4217</v>
      </c>
      <c r="F24" s="3">
        <v>0</v>
      </c>
      <c r="G24" s="8" t="s">
        <v>2772</v>
      </c>
      <c r="H24" s="8" t="s">
        <v>5160</v>
      </c>
      <c r="I24" s="3">
        <v>31</v>
      </c>
      <c r="J24" s="3" t="s">
        <v>5264</v>
      </c>
      <c r="K24" s="17" t="str">
        <f>HYPERLINK("http://ictvonline.org/taxonomyHistory.asp?taxnode_id=20170033","ICTVonline=20170033")</f>
        <v>ICTVonline=20170033</v>
      </c>
      <c r="L24" s="3">
        <v>23</v>
      </c>
    </row>
    <row r="25" spans="1:12" x14ac:dyDescent="0.15">
      <c r="A25" s="1" t="s">
        <v>4268</v>
      </c>
      <c r="B25" s="1" t="s">
        <v>4270</v>
      </c>
      <c r="D25" s="1" t="s">
        <v>4271</v>
      </c>
      <c r="E25" s="1" t="s">
        <v>4218</v>
      </c>
      <c r="F25" s="3">
        <v>0</v>
      </c>
      <c r="G25" s="8" t="s">
        <v>2772</v>
      </c>
      <c r="H25" s="8" t="s">
        <v>5160</v>
      </c>
      <c r="I25" s="3">
        <v>31</v>
      </c>
      <c r="J25" s="3" t="s">
        <v>5264</v>
      </c>
      <c r="K25" s="17" t="str">
        <f>HYPERLINK("http://ictvonline.org/taxonomyHistory.asp?taxnode_id=20170034","ICTVonline=20170034")</f>
        <v>ICTVonline=20170034</v>
      </c>
      <c r="L25" s="3">
        <v>24</v>
      </c>
    </row>
    <row r="26" spans="1:12" x14ac:dyDescent="0.15">
      <c r="A26" s="1" t="s">
        <v>4268</v>
      </c>
      <c r="B26" s="1" t="s">
        <v>4270</v>
      </c>
      <c r="D26" s="1" t="s">
        <v>4271</v>
      </c>
      <c r="E26" s="1" t="s">
        <v>4323</v>
      </c>
      <c r="F26" s="3">
        <v>0</v>
      </c>
      <c r="G26" s="8" t="s">
        <v>2772</v>
      </c>
      <c r="H26" s="8" t="s">
        <v>5159</v>
      </c>
      <c r="I26" s="3">
        <v>31</v>
      </c>
      <c r="J26" s="3" t="s">
        <v>5267</v>
      </c>
      <c r="K26" s="17" t="str">
        <f>HYPERLINK("http://ictvonline.org/taxonomyHistory.asp?taxnode_id=20170035","ICTVonline=20170035")</f>
        <v>ICTVonline=20170035</v>
      </c>
      <c r="L26" s="3">
        <v>25</v>
      </c>
    </row>
    <row r="27" spans="1:12" x14ac:dyDescent="0.15">
      <c r="A27" s="1" t="s">
        <v>4268</v>
      </c>
      <c r="B27" s="1" t="s">
        <v>4270</v>
      </c>
      <c r="D27" s="1" t="s">
        <v>4271</v>
      </c>
      <c r="E27" s="1" t="s">
        <v>4324</v>
      </c>
      <c r="F27" s="3">
        <v>0</v>
      </c>
      <c r="G27" s="8" t="s">
        <v>2772</v>
      </c>
      <c r="H27" s="8" t="s">
        <v>5159</v>
      </c>
      <c r="I27" s="3">
        <v>31</v>
      </c>
      <c r="J27" s="3" t="s">
        <v>5267</v>
      </c>
      <c r="K27" s="17" t="str">
        <f>HYPERLINK("http://ictvonline.org/taxonomyHistory.asp?taxnode_id=20170036","ICTVonline=20170036")</f>
        <v>ICTVonline=20170036</v>
      </c>
      <c r="L27" s="3">
        <v>26</v>
      </c>
    </row>
    <row r="28" spans="1:12" x14ac:dyDescent="0.15">
      <c r="A28" s="1" t="s">
        <v>4268</v>
      </c>
      <c r="B28" s="1" t="s">
        <v>4270</v>
      </c>
      <c r="D28" s="1" t="s">
        <v>4271</v>
      </c>
      <c r="E28" s="1" t="s">
        <v>4219</v>
      </c>
      <c r="F28" s="3">
        <v>1</v>
      </c>
      <c r="G28" s="8" t="s">
        <v>2772</v>
      </c>
      <c r="H28" s="8" t="s">
        <v>5160</v>
      </c>
      <c r="I28" s="3">
        <v>31</v>
      </c>
      <c r="J28" s="3" t="s">
        <v>5264</v>
      </c>
      <c r="K28" s="17" t="str">
        <f>HYPERLINK("http://ictvonline.org/taxonomyHistory.asp?taxnode_id=20170037","ICTVonline=20170037")</f>
        <v>ICTVonline=20170037</v>
      </c>
      <c r="L28" s="3">
        <v>27</v>
      </c>
    </row>
    <row r="29" spans="1:12" x14ac:dyDescent="0.15">
      <c r="A29" s="1" t="s">
        <v>4268</v>
      </c>
      <c r="B29" s="1" t="s">
        <v>4270</v>
      </c>
      <c r="D29" s="1" t="s">
        <v>4271</v>
      </c>
      <c r="E29" s="1" t="s">
        <v>4325</v>
      </c>
      <c r="F29" s="3">
        <v>0</v>
      </c>
      <c r="G29" s="8" t="s">
        <v>2772</v>
      </c>
      <c r="H29" s="8" t="s">
        <v>5159</v>
      </c>
      <c r="I29" s="3">
        <v>31</v>
      </c>
      <c r="J29" s="3" t="s">
        <v>5267</v>
      </c>
      <c r="K29" s="17" t="str">
        <f>HYPERLINK("http://ictvonline.org/taxonomyHistory.asp?taxnode_id=20170038","ICTVonline=20170038")</f>
        <v>ICTVonline=20170038</v>
      </c>
      <c r="L29" s="3">
        <v>28</v>
      </c>
    </row>
    <row r="30" spans="1:12" x14ac:dyDescent="0.15">
      <c r="A30" s="1" t="s">
        <v>4268</v>
      </c>
      <c r="B30" s="1" t="s">
        <v>4270</v>
      </c>
      <c r="D30" s="1" t="s">
        <v>4271</v>
      </c>
      <c r="E30" s="1" t="s">
        <v>4326</v>
      </c>
      <c r="F30" s="3">
        <v>0</v>
      </c>
      <c r="G30" s="8" t="s">
        <v>2772</v>
      </c>
      <c r="H30" s="8" t="s">
        <v>5159</v>
      </c>
      <c r="I30" s="3">
        <v>31</v>
      </c>
      <c r="J30" s="3" t="s">
        <v>5267</v>
      </c>
      <c r="K30" s="17" t="str">
        <f>HYPERLINK("http://ictvonline.org/taxonomyHistory.asp?taxnode_id=20170039","ICTVonline=20170039")</f>
        <v>ICTVonline=20170039</v>
      </c>
      <c r="L30" s="3">
        <v>29</v>
      </c>
    </row>
    <row r="31" spans="1:12" x14ac:dyDescent="0.15">
      <c r="A31" s="1" t="s">
        <v>4268</v>
      </c>
      <c r="B31" s="1" t="s">
        <v>4270</v>
      </c>
      <c r="D31" s="1" t="s">
        <v>4271</v>
      </c>
      <c r="E31" s="1" t="s">
        <v>4327</v>
      </c>
      <c r="F31" s="3">
        <v>0</v>
      </c>
      <c r="G31" s="8" t="s">
        <v>2772</v>
      </c>
      <c r="H31" s="8" t="s">
        <v>5159</v>
      </c>
      <c r="I31" s="3">
        <v>31</v>
      </c>
      <c r="J31" s="3" t="s">
        <v>5267</v>
      </c>
      <c r="K31" s="17" t="str">
        <f>HYPERLINK("http://ictvonline.org/taxonomyHistory.asp?taxnode_id=20170040","ICTVonline=20170040")</f>
        <v>ICTVonline=20170040</v>
      </c>
      <c r="L31" s="3">
        <v>30</v>
      </c>
    </row>
    <row r="32" spans="1:12" x14ac:dyDescent="0.15">
      <c r="A32" s="1" t="s">
        <v>4268</v>
      </c>
      <c r="B32" s="1" t="s">
        <v>4270</v>
      </c>
      <c r="D32" s="1" t="s">
        <v>4271</v>
      </c>
      <c r="E32" s="1" t="s">
        <v>4220</v>
      </c>
      <c r="F32" s="3">
        <v>0</v>
      </c>
      <c r="G32" s="8" t="s">
        <v>2772</v>
      </c>
      <c r="H32" s="8" t="s">
        <v>5160</v>
      </c>
      <c r="I32" s="3">
        <v>31</v>
      </c>
      <c r="J32" s="3" t="s">
        <v>5264</v>
      </c>
      <c r="K32" s="17" t="str">
        <f>HYPERLINK("http://ictvonline.org/taxonomyHistory.asp?taxnode_id=20170041","ICTVonline=20170041")</f>
        <v>ICTVonline=20170041</v>
      </c>
      <c r="L32" s="3">
        <v>31</v>
      </c>
    </row>
    <row r="33" spans="1:12" x14ac:dyDescent="0.15">
      <c r="A33" s="1" t="s">
        <v>4268</v>
      </c>
      <c r="B33" s="1" t="s">
        <v>4270</v>
      </c>
      <c r="D33" s="1" t="s">
        <v>4271</v>
      </c>
      <c r="E33" s="1" t="s">
        <v>4221</v>
      </c>
      <c r="F33" s="3">
        <v>0</v>
      </c>
      <c r="G33" s="8" t="s">
        <v>2772</v>
      </c>
      <c r="H33" s="8" t="s">
        <v>5160</v>
      </c>
      <c r="I33" s="3">
        <v>31</v>
      </c>
      <c r="J33" s="3" t="s">
        <v>5264</v>
      </c>
      <c r="K33" s="17" t="str">
        <f>HYPERLINK("http://ictvonline.org/taxonomyHistory.asp?taxnode_id=20170042","ICTVonline=20170042")</f>
        <v>ICTVonline=20170042</v>
      </c>
      <c r="L33" s="3">
        <v>32</v>
      </c>
    </row>
    <row r="34" spans="1:12" x14ac:dyDescent="0.15">
      <c r="A34" s="1" t="s">
        <v>4268</v>
      </c>
      <c r="B34" s="1" t="s">
        <v>4270</v>
      </c>
      <c r="D34" s="1" t="s">
        <v>4271</v>
      </c>
      <c r="E34" s="1" t="s">
        <v>4328</v>
      </c>
      <c r="F34" s="3">
        <v>0</v>
      </c>
      <c r="G34" s="8" t="s">
        <v>2772</v>
      </c>
      <c r="H34" s="8" t="s">
        <v>5159</v>
      </c>
      <c r="I34" s="3">
        <v>31</v>
      </c>
      <c r="J34" s="3" t="s">
        <v>5267</v>
      </c>
      <c r="K34" s="17" t="str">
        <f>HYPERLINK("http://ictvonline.org/taxonomyHistory.asp?taxnode_id=20170043","ICTVonline=20170043")</f>
        <v>ICTVonline=20170043</v>
      </c>
      <c r="L34" s="3">
        <v>33</v>
      </c>
    </row>
    <row r="35" spans="1:12" x14ac:dyDescent="0.15">
      <c r="A35" s="1" t="s">
        <v>4268</v>
      </c>
      <c r="B35" s="1" t="s">
        <v>4270</v>
      </c>
      <c r="D35" s="1" t="s">
        <v>4271</v>
      </c>
      <c r="E35" s="1" t="s">
        <v>4329</v>
      </c>
      <c r="F35" s="3">
        <v>0</v>
      </c>
      <c r="G35" s="8" t="s">
        <v>2772</v>
      </c>
      <c r="H35" s="8" t="s">
        <v>5159</v>
      </c>
      <c r="I35" s="3">
        <v>31</v>
      </c>
      <c r="J35" s="3" t="s">
        <v>5267</v>
      </c>
      <c r="K35" s="17" t="str">
        <f>HYPERLINK("http://ictvonline.org/taxonomyHistory.asp?taxnode_id=20170044","ICTVonline=20170044")</f>
        <v>ICTVonline=20170044</v>
      </c>
      <c r="L35" s="3">
        <v>34</v>
      </c>
    </row>
    <row r="36" spans="1:12" x14ac:dyDescent="0.15">
      <c r="A36" s="1" t="s">
        <v>4268</v>
      </c>
      <c r="B36" s="1" t="s">
        <v>4270</v>
      </c>
      <c r="D36" s="1" t="s">
        <v>4271</v>
      </c>
      <c r="E36" s="1" t="s">
        <v>4330</v>
      </c>
      <c r="F36" s="3">
        <v>0</v>
      </c>
      <c r="G36" s="8" t="s">
        <v>2772</v>
      </c>
      <c r="H36" s="8" t="s">
        <v>5159</v>
      </c>
      <c r="I36" s="3">
        <v>31</v>
      </c>
      <c r="J36" s="3" t="s">
        <v>5267</v>
      </c>
      <c r="K36" s="17" t="str">
        <f>HYPERLINK("http://ictvonline.org/taxonomyHistory.asp?taxnode_id=20170045","ICTVonline=20170045")</f>
        <v>ICTVonline=20170045</v>
      </c>
      <c r="L36" s="3">
        <v>35</v>
      </c>
    </row>
    <row r="37" spans="1:12" x14ac:dyDescent="0.15">
      <c r="A37" s="1" t="s">
        <v>4268</v>
      </c>
      <c r="B37" s="1" t="s">
        <v>4270</v>
      </c>
      <c r="D37" s="1" t="s">
        <v>4271</v>
      </c>
      <c r="E37" s="1" t="s">
        <v>4331</v>
      </c>
      <c r="F37" s="3">
        <v>0</v>
      </c>
      <c r="G37" s="8" t="s">
        <v>2772</v>
      </c>
      <c r="H37" s="8" t="s">
        <v>5159</v>
      </c>
      <c r="I37" s="3">
        <v>31</v>
      </c>
      <c r="J37" s="3" t="s">
        <v>5267</v>
      </c>
      <c r="K37" s="17" t="str">
        <f>HYPERLINK("http://ictvonline.org/taxonomyHistory.asp?taxnode_id=20170046","ICTVonline=20170046")</f>
        <v>ICTVonline=20170046</v>
      </c>
      <c r="L37" s="3">
        <v>36</v>
      </c>
    </row>
    <row r="38" spans="1:12" x14ac:dyDescent="0.15">
      <c r="A38" s="1" t="s">
        <v>4268</v>
      </c>
      <c r="B38" s="1" t="s">
        <v>4270</v>
      </c>
      <c r="D38" s="1" t="s">
        <v>4271</v>
      </c>
      <c r="E38" s="1" t="s">
        <v>4332</v>
      </c>
      <c r="F38" s="3">
        <v>0</v>
      </c>
      <c r="G38" s="8" t="s">
        <v>2772</v>
      </c>
      <c r="H38" s="8" t="s">
        <v>5159</v>
      </c>
      <c r="I38" s="3">
        <v>31</v>
      </c>
      <c r="J38" s="3" t="s">
        <v>5267</v>
      </c>
      <c r="K38" s="17" t="str">
        <f>HYPERLINK("http://ictvonline.org/taxonomyHistory.asp?taxnode_id=20170047","ICTVonline=20170047")</f>
        <v>ICTVonline=20170047</v>
      </c>
      <c r="L38" s="3">
        <v>37</v>
      </c>
    </row>
    <row r="39" spans="1:12" x14ac:dyDescent="0.15">
      <c r="A39" s="1" t="s">
        <v>4268</v>
      </c>
      <c r="B39" s="1" t="s">
        <v>4270</v>
      </c>
      <c r="D39" s="1" t="s">
        <v>4271</v>
      </c>
      <c r="E39" s="1" t="s">
        <v>4333</v>
      </c>
      <c r="F39" s="3">
        <v>0</v>
      </c>
      <c r="G39" s="8" t="s">
        <v>2772</v>
      </c>
      <c r="H39" s="8" t="s">
        <v>5159</v>
      </c>
      <c r="I39" s="3">
        <v>31</v>
      </c>
      <c r="J39" s="3" t="s">
        <v>5267</v>
      </c>
      <c r="K39" s="17" t="str">
        <f>HYPERLINK("http://ictvonline.org/taxonomyHistory.asp?taxnode_id=20170048","ICTVonline=20170048")</f>
        <v>ICTVonline=20170048</v>
      </c>
      <c r="L39" s="3">
        <v>38</v>
      </c>
    </row>
    <row r="40" spans="1:12" x14ac:dyDescent="0.15">
      <c r="A40" s="1" t="s">
        <v>4268</v>
      </c>
      <c r="B40" s="1" t="s">
        <v>4270</v>
      </c>
      <c r="D40" s="1" t="s">
        <v>4271</v>
      </c>
      <c r="E40" s="1" t="s">
        <v>4334</v>
      </c>
      <c r="F40" s="3">
        <v>0</v>
      </c>
      <c r="G40" s="8" t="s">
        <v>2772</v>
      </c>
      <c r="H40" s="8" t="s">
        <v>5159</v>
      </c>
      <c r="I40" s="3">
        <v>31</v>
      </c>
      <c r="J40" s="3" t="s">
        <v>5267</v>
      </c>
      <c r="K40" s="17" t="str">
        <f>HYPERLINK("http://ictvonline.org/taxonomyHistory.asp?taxnode_id=20170049","ICTVonline=20170049")</f>
        <v>ICTVonline=20170049</v>
      </c>
      <c r="L40" s="3">
        <v>39</v>
      </c>
    </row>
    <row r="41" spans="1:12" x14ac:dyDescent="0.15">
      <c r="A41" s="1" t="s">
        <v>4268</v>
      </c>
      <c r="B41" s="1" t="s">
        <v>4270</v>
      </c>
      <c r="D41" s="1" t="s">
        <v>4271</v>
      </c>
      <c r="E41" s="1" t="s">
        <v>4335</v>
      </c>
      <c r="F41" s="3">
        <v>0</v>
      </c>
      <c r="G41" s="8" t="s">
        <v>2772</v>
      </c>
      <c r="H41" s="8" t="s">
        <v>5159</v>
      </c>
      <c r="I41" s="3">
        <v>31</v>
      </c>
      <c r="J41" s="3" t="s">
        <v>5267</v>
      </c>
      <c r="K41" s="17" t="str">
        <f>HYPERLINK("http://ictvonline.org/taxonomyHistory.asp?taxnode_id=20170050","ICTVonline=20170050")</f>
        <v>ICTVonline=20170050</v>
      </c>
      <c r="L41" s="3">
        <v>40</v>
      </c>
    </row>
    <row r="42" spans="1:12" x14ac:dyDescent="0.15">
      <c r="A42" s="1" t="s">
        <v>4268</v>
      </c>
      <c r="B42" s="1" t="s">
        <v>4270</v>
      </c>
      <c r="D42" s="1" t="s">
        <v>4271</v>
      </c>
      <c r="E42" s="1" t="s">
        <v>4222</v>
      </c>
      <c r="F42" s="3">
        <v>0</v>
      </c>
      <c r="G42" s="8" t="s">
        <v>2772</v>
      </c>
      <c r="H42" s="8" t="s">
        <v>5160</v>
      </c>
      <c r="I42" s="3">
        <v>31</v>
      </c>
      <c r="J42" s="3" t="s">
        <v>5264</v>
      </c>
      <c r="K42" s="17" t="str">
        <f>HYPERLINK("http://ictvonline.org/taxonomyHistory.asp?taxnode_id=20170051","ICTVonline=20170051")</f>
        <v>ICTVonline=20170051</v>
      </c>
      <c r="L42" s="3">
        <v>41</v>
      </c>
    </row>
    <row r="43" spans="1:12" x14ac:dyDescent="0.15">
      <c r="A43" s="1" t="s">
        <v>4268</v>
      </c>
      <c r="B43" s="1" t="s">
        <v>4270</v>
      </c>
      <c r="D43" s="1" t="s">
        <v>4271</v>
      </c>
      <c r="E43" s="1" t="s">
        <v>4223</v>
      </c>
      <c r="F43" s="3">
        <v>0</v>
      </c>
      <c r="G43" s="8" t="s">
        <v>2772</v>
      </c>
      <c r="H43" s="8" t="s">
        <v>5160</v>
      </c>
      <c r="I43" s="3">
        <v>31</v>
      </c>
      <c r="J43" s="3" t="s">
        <v>5264</v>
      </c>
      <c r="K43" s="17" t="str">
        <f>HYPERLINK("http://ictvonline.org/taxonomyHistory.asp?taxnode_id=20170052","ICTVonline=20170052")</f>
        <v>ICTVonline=20170052</v>
      </c>
      <c r="L43" s="3">
        <v>42</v>
      </c>
    </row>
    <row r="44" spans="1:12" x14ac:dyDescent="0.15">
      <c r="A44" s="1" t="s">
        <v>4268</v>
      </c>
      <c r="B44" s="1" t="s">
        <v>4270</v>
      </c>
      <c r="D44" s="1" t="s">
        <v>4271</v>
      </c>
      <c r="E44" s="1" t="s">
        <v>4336</v>
      </c>
      <c r="F44" s="3">
        <v>0</v>
      </c>
      <c r="G44" s="8" t="s">
        <v>2772</v>
      </c>
      <c r="H44" s="8" t="s">
        <v>5159</v>
      </c>
      <c r="I44" s="3">
        <v>31</v>
      </c>
      <c r="J44" s="3" t="s">
        <v>5267</v>
      </c>
      <c r="K44" s="17" t="str">
        <f>HYPERLINK("http://ictvonline.org/taxonomyHistory.asp?taxnode_id=20170053","ICTVonline=20170053")</f>
        <v>ICTVonline=20170053</v>
      </c>
      <c r="L44" s="3">
        <v>43</v>
      </c>
    </row>
    <row r="45" spans="1:12" x14ac:dyDescent="0.15">
      <c r="A45" s="1" t="s">
        <v>4268</v>
      </c>
      <c r="B45" s="1" t="s">
        <v>4270</v>
      </c>
      <c r="D45" s="1" t="s">
        <v>4271</v>
      </c>
      <c r="E45" s="1" t="s">
        <v>4337</v>
      </c>
      <c r="F45" s="3">
        <v>0</v>
      </c>
      <c r="G45" s="8" t="s">
        <v>2772</v>
      </c>
      <c r="H45" s="8" t="s">
        <v>5159</v>
      </c>
      <c r="I45" s="3">
        <v>31</v>
      </c>
      <c r="J45" s="3" t="s">
        <v>5267</v>
      </c>
      <c r="K45" s="17" t="str">
        <f>HYPERLINK("http://ictvonline.org/taxonomyHistory.asp?taxnode_id=20170054","ICTVonline=20170054")</f>
        <v>ICTVonline=20170054</v>
      </c>
      <c r="L45" s="3">
        <v>44</v>
      </c>
    </row>
    <row r="46" spans="1:12" x14ac:dyDescent="0.15">
      <c r="A46" s="1" t="s">
        <v>4268</v>
      </c>
      <c r="B46" s="1" t="s">
        <v>4270</v>
      </c>
      <c r="D46" s="1" t="s">
        <v>4271</v>
      </c>
      <c r="E46" s="1" t="s">
        <v>4224</v>
      </c>
      <c r="F46" s="3">
        <v>0</v>
      </c>
      <c r="G46" s="8" t="s">
        <v>2772</v>
      </c>
      <c r="H46" s="8" t="s">
        <v>5160</v>
      </c>
      <c r="I46" s="3">
        <v>31</v>
      </c>
      <c r="J46" s="3" t="s">
        <v>5264</v>
      </c>
      <c r="K46" s="17" t="str">
        <f>HYPERLINK("http://ictvonline.org/taxonomyHistory.asp?taxnode_id=20170055","ICTVonline=20170055")</f>
        <v>ICTVonline=20170055</v>
      </c>
      <c r="L46" s="3">
        <v>45</v>
      </c>
    </row>
    <row r="47" spans="1:12" x14ac:dyDescent="0.15">
      <c r="A47" s="1" t="s">
        <v>4268</v>
      </c>
      <c r="B47" s="1" t="s">
        <v>4270</v>
      </c>
      <c r="D47" s="1" t="s">
        <v>4271</v>
      </c>
      <c r="E47" s="1" t="s">
        <v>4225</v>
      </c>
      <c r="F47" s="3">
        <v>0</v>
      </c>
      <c r="G47" s="8" t="s">
        <v>2772</v>
      </c>
      <c r="H47" s="8" t="s">
        <v>5160</v>
      </c>
      <c r="I47" s="3">
        <v>31</v>
      </c>
      <c r="J47" s="3" t="s">
        <v>5264</v>
      </c>
      <c r="K47" s="17" t="str">
        <f>HYPERLINK("http://ictvonline.org/taxonomyHistory.asp?taxnode_id=20170056","ICTVonline=20170056")</f>
        <v>ICTVonline=20170056</v>
      </c>
      <c r="L47" s="3">
        <v>46</v>
      </c>
    </row>
    <row r="48" spans="1:12" x14ac:dyDescent="0.15">
      <c r="A48" s="1" t="s">
        <v>4268</v>
      </c>
      <c r="B48" s="1" t="s">
        <v>4270</v>
      </c>
      <c r="D48" s="1" t="s">
        <v>4271</v>
      </c>
      <c r="E48" s="1" t="s">
        <v>4226</v>
      </c>
      <c r="F48" s="3">
        <v>0</v>
      </c>
      <c r="G48" s="8" t="s">
        <v>2772</v>
      </c>
      <c r="H48" s="8" t="s">
        <v>5160</v>
      </c>
      <c r="I48" s="3">
        <v>31</v>
      </c>
      <c r="J48" s="3" t="s">
        <v>5264</v>
      </c>
      <c r="K48" s="17" t="str">
        <f>HYPERLINK("http://ictvonline.org/taxonomyHistory.asp?taxnode_id=20170057","ICTVonline=20170057")</f>
        <v>ICTVonline=20170057</v>
      </c>
      <c r="L48" s="3">
        <v>47</v>
      </c>
    </row>
    <row r="49" spans="1:12" x14ac:dyDescent="0.15">
      <c r="A49" s="1" t="s">
        <v>4268</v>
      </c>
      <c r="B49" s="1" t="s">
        <v>4270</v>
      </c>
      <c r="D49" s="1" t="s">
        <v>4271</v>
      </c>
      <c r="E49" s="1" t="s">
        <v>4227</v>
      </c>
      <c r="F49" s="3">
        <v>0</v>
      </c>
      <c r="G49" s="8" t="s">
        <v>2772</v>
      </c>
      <c r="H49" s="8" t="s">
        <v>5160</v>
      </c>
      <c r="I49" s="3">
        <v>31</v>
      </c>
      <c r="J49" s="3" t="s">
        <v>5264</v>
      </c>
      <c r="K49" s="17" t="str">
        <f>HYPERLINK("http://ictvonline.org/taxonomyHistory.asp?taxnode_id=20170058","ICTVonline=20170058")</f>
        <v>ICTVonline=20170058</v>
      </c>
      <c r="L49" s="3">
        <v>48</v>
      </c>
    </row>
    <row r="50" spans="1:12" x14ac:dyDescent="0.15">
      <c r="A50" s="1" t="s">
        <v>4268</v>
      </c>
      <c r="B50" s="1" t="s">
        <v>4270</v>
      </c>
      <c r="D50" s="1" t="s">
        <v>4271</v>
      </c>
      <c r="E50" s="1" t="s">
        <v>4228</v>
      </c>
      <c r="F50" s="3">
        <v>0</v>
      </c>
      <c r="G50" s="8" t="s">
        <v>2772</v>
      </c>
      <c r="H50" s="8" t="s">
        <v>5160</v>
      </c>
      <c r="I50" s="3">
        <v>31</v>
      </c>
      <c r="J50" s="3" t="s">
        <v>5264</v>
      </c>
      <c r="K50" s="17" t="str">
        <f>HYPERLINK("http://ictvonline.org/taxonomyHistory.asp?taxnode_id=20170059","ICTVonline=20170059")</f>
        <v>ICTVonline=20170059</v>
      </c>
      <c r="L50" s="3">
        <v>49</v>
      </c>
    </row>
    <row r="51" spans="1:12" x14ac:dyDescent="0.15">
      <c r="A51" s="1" t="s">
        <v>4268</v>
      </c>
      <c r="B51" s="1" t="s">
        <v>4270</v>
      </c>
      <c r="D51" s="1" t="s">
        <v>4271</v>
      </c>
      <c r="E51" s="1" t="s">
        <v>4229</v>
      </c>
      <c r="F51" s="3">
        <v>0</v>
      </c>
      <c r="G51" s="8" t="s">
        <v>2772</v>
      </c>
      <c r="H51" s="8" t="s">
        <v>5160</v>
      </c>
      <c r="I51" s="3">
        <v>31</v>
      </c>
      <c r="J51" s="3" t="s">
        <v>5264</v>
      </c>
      <c r="K51" s="17" t="str">
        <f>HYPERLINK("http://ictvonline.org/taxonomyHistory.asp?taxnode_id=20170060","ICTVonline=20170060")</f>
        <v>ICTVonline=20170060</v>
      </c>
      <c r="L51" s="3">
        <v>50</v>
      </c>
    </row>
    <row r="52" spans="1:12" x14ac:dyDescent="0.15">
      <c r="A52" s="1" t="s">
        <v>4268</v>
      </c>
      <c r="B52" s="1" t="s">
        <v>4270</v>
      </c>
      <c r="D52" s="1" t="s">
        <v>4271</v>
      </c>
      <c r="E52" s="1" t="s">
        <v>4338</v>
      </c>
      <c r="F52" s="3">
        <v>0</v>
      </c>
      <c r="G52" s="8" t="s">
        <v>2772</v>
      </c>
      <c r="H52" s="8" t="s">
        <v>5159</v>
      </c>
      <c r="I52" s="3">
        <v>31</v>
      </c>
      <c r="J52" s="3" t="s">
        <v>5267</v>
      </c>
      <c r="K52" s="17" t="str">
        <f>HYPERLINK("http://ictvonline.org/taxonomyHistory.asp?taxnode_id=20170061","ICTVonline=20170061")</f>
        <v>ICTVonline=20170061</v>
      </c>
      <c r="L52" s="3">
        <v>51</v>
      </c>
    </row>
    <row r="53" spans="1:12" x14ac:dyDescent="0.15">
      <c r="A53" s="1" t="s">
        <v>4268</v>
      </c>
      <c r="B53" s="1" t="s">
        <v>4344</v>
      </c>
      <c r="D53" s="1" t="s">
        <v>4345</v>
      </c>
      <c r="E53" s="1" t="s">
        <v>5268</v>
      </c>
      <c r="F53" s="3">
        <v>1</v>
      </c>
      <c r="G53" s="8" t="s">
        <v>2772</v>
      </c>
      <c r="H53" s="8" t="s">
        <v>5159</v>
      </c>
      <c r="I53" s="3">
        <v>31</v>
      </c>
      <c r="J53" s="3" t="s">
        <v>5269</v>
      </c>
      <c r="K53" s="17" t="str">
        <f>HYPERLINK("http://ictvonline.org/taxonomyHistory.asp?taxnode_id=20170065","ICTVonline=20170065")</f>
        <v>ICTVonline=20170065</v>
      </c>
      <c r="L53" s="3">
        <v>52</v>
      </c>
    </row>
    <row r="54" spans="1:12" x14ac:dyDescent="0.15">
      <c r="A54" s="1" t="s">
        <v>4268</v>
      </c>
      <c r="B54" s="1" t="s">
        <v>4272</v>
      </c>
      <c r="D54" s="1" t="s">
        <v>4273</v>
      </c>
      <c r="E54" s="1" t="s">
        <v>5270</v>
      </c>
      <c r="F54" s="3">
        <v>0</v>
      </c>
      <c r="G54" s="8" t="s">
        <v>2772</v>
      </c>
      <c r="H54" s="8" t="s">
        <v>5159</v>
      </c>
      <c r="I54" s="3">
        <v>32</v>
      </c>
      <c r="J54" s="3" t="s">
        <v>5271</v>
      </c>
      <c r="K54" s="17" t="str">
        <f>HYPERLINK("http://ictvonline.org/taxonomyHistory.asp?taxnode_id=20175462","ICTVonline=20175462")</f>
        <v>ICTVonline=20175462</v>
      </c>
      <c r="L54" s="3">
        <v>53</v>
      </c>
    </row>
    <row r="55" spans="1:12" x14ac:dyDescent="0.15">
      <c r="A55" s="1" t="s">
        <v>4268</v>
      </c>
      <c r="B55" s="1" t="s">
        <v>4272</v>
      </c>
      <c r="D55" s="1" t="s">
        <v>4273</v>
      </c>
      <c r="E55" s="1" t="s">
        <v>5272</v>
      </c>
      <c r="F55" s="3">
        <v>0</v>
      </c>
      <c r="G55" s="8" t="s">
        <v>2772</v>
      </c>
      <c r="H55" s="8" t="s">
        <v>5159</v>
      </c>
      <c r="I55" s="3">
        <v>32</v>
      </c>
      <c r="J55" s="3" t="s">
        <v>5271</v>
      </c>
      <c r="K55" s="17" t="str">
        <f>HYPERLINK("http://ictvonline.org/taxonomyHistory.asp?taxnode_id=20175463","ICTVonline=20175463")</f>
        <v>ICTVonline=20175463</v>
      </c>
      <c r="L55" s="3">
        <v>54</v>
      </c>
    </row>
    <row r="56" spans="1:12" x14ac:dyDescent="0.15">
      <c r="A56" s="1" t="s">
        <v>4268</v>
      </c>
      <c r="B56" s="1" t="s">
        <v>4272</v>
      </c>
      <c r="D56" s="1" t="s">
        <v>4273</v>
      </c>
      <c r="E56" s="1" t="s">
        <v>4230</v>
      </c>
      <c r="F56" s="3">
        <v>0</v>
      </c>
      <c r="G56" s="8" t="s">
        <v>2772</v>
      </c>
      <c r="H56" s="8" t="s">
        <v>5160</v>
      </c>
      <c r="I56" s="3">
        <v>31</v>
      </c>
      <c r="J56" s="3" t="s">
        <v>5264</v>
      </c>
      <c r="K56" s="17" t="str">
        <f>HYPERLINK("http://ictvonline.org/taxonomyHistory.asp?taxnode_id=20170070","ICTVonline=20170070")</f>
        <v>ICTVonline=20170070</v>
      </c>
      <c r="L56" s="3">
        <v>55</v>
      </c>
    </row>
    <row r="57" spans="1:12" x14ac:dyDescent="0.15">
      <c r="A57" s="1" t="s">
        <v>4268</v>
      </c>
      <c r="B57" s="1" t="s">
        <v>4272</v>
      </c>
      <c r="D57" s="1" t="s">
        <v>4273</v>
      </c>
      <c r="E57" s="1" t="s">
        <v>4231</v>
      </c>
      <c r="F57" s="3">
        <v>0</v>
      </c>
      <c r="G57" s="8" t="s">
        <v>2772</v>
      </c>
      <c r="H57" s="8" t="s">
        <v>5160</v>
      </c>
      <c r="I57" s="3">
        <v>31</v>
      </c>
      <c r="J57" s="3" t="s">
        <v>5264</v>
      </c>
      <c r="K57" s="17" t="str">
        <f>HYPERLINK("http://ictvonline.org/taxonomyHistory.asp?taxnode_id=20170071","ICTVonline=20170071")</f>
        <v>ICTVonline=20170071</v>
      </c>
      <c r="L57" s="3">
        <v>56</v>
      </c>
    </row>
    <row r="58" spans="1:12" x14ac:dyDescent="0.15">
      <c r="A58" s="1" t="s">
        <v>4268</v>
      </c>
      <c r="B58" s="1" t="s">
        <v>4272</v>
      </c>
      <c r="D58" s="1" t="s">
        <v>4273</v>
      </c>
      <c r="E58" s="1" t="s">
        <v>4232</v>
      </c>
      <c r="F58" s="3">
        <v>1</v>
      </c>
      <c r="G58" s="8" t="s">
        <v>2772</v>
      </c>
      <c r="H58" s="8" t="s">
        <v>5160</v>
      </c>
      <c r="I58" s="3">
        <v>31</v>
      </c>
      <c r="J58" s="3" t="s">
        <v>5264</v>
      </c>
      <c r="K58" s="17" t="str">
        <f>HYPERLINK("http://ictvonline.org/taxonomyHistory.asp?taxnode_id=20170072","ICTVonline=20170072")</f>
        <v>ICTVonline=20170072</v>
      </c>
      <c r="L58" s="3">
        <v>57</v>
      </c>
    </row>
    <row r="59" spans="1:12" x14ac:dyDescent="0.15">
      <c r="A59" s="1" t="s">
        <v>4268</v>
      </c>
      <c r="B59" s="1" t="s">
        <v>4272</v>
      </c>
      <c r="D59" s="1" t="s">
        <v>4273</v>
      </c>
      <c r="E59" s="1" t="s">
        <v>4346</v>
      </c>
      <c r="F59" s="3">
        <v>0</v>
      </c>
      <c r="G59" s="8" t="s">
        <v>2772</v>
      </c>
      <c r="H59" s="8" t="s">
        <v>5159</v>
      </c>
      <c r="I59" s="3">
        <v>31</v>
      </c>
      <c r="J59" s="3" t="s">
        <v>5273</v>
      </c>
      <c r="K59" s="17" t="str">
        <f>HYPERLINK("http://ictvonline.org/taxonomyHistory.asp?taxnode_id=20170073","ICTVonline=20170073")</f>
        <v>ICTVonline=20170073</v>
      </c>
      <c r="L59" s="3">
        <v>58</v>
      </c>
    </row>
    <row r="60" spans="1:12" x14ac:dyDescent="0.15">
      <c r="A60" s="1" t="s">
        <v>4268</v>
      </c>
      <c r="B60" s="1" t="s">
        <v>4272</v>
      </c>
      <c r="D60" s="1" t="s">
        <v>4273</v>
      </c>
      <c r="E60" s="1" t="s">
        <v>4233</v>
      </c>
      <c r="F60" s="3">
        <v>0</v>
      </c>
      <c r="G60" s="8" t="s">
        <v>2772</v>
      </c>
      <c r="H60" s="8" t="s">
        <v>5160</v>
      </c>
      <c r="I60" s="3">
        <v>31</v>
      </c>
      <c r="J60" s="3" t="s">
        <v>5264</v>
      </c>
      <c r="K60" s="17" t="str">
        <f>HYPERLINK("http://ictvonline.org/taxonomyHistory.asp?taxnode_id=20170074","ICTVonline=20170074")</f>
        <v>ICTVonline=20170074</v>
      </c>
      <c r="L60" s="3">
        <v>59</v>
      </c>
    </row>
    <row r="61" spans="1:12" x14ac:dyDescent="0.15">
      <c r="A61" s="1" t="s">
        <v>4268</v>
      </c>
      <c r="B61" s="1" t="s">
        <v>4272</v>
      </c>
      <c r="D61" s="1" t="s">
        <v>4273</v>
      </c>
      <c r="E61" s="1" t="s">
        <v>4347</v>
      </c>
      <c r="F61" s="3">
        <v>0</v>
      </c>
      <c r="G61" s="8" t="s">
        <v>2772</v>
      </c>
      <c r="H61" s="8" t="s">
        <v>5159</v>
      </c>
      <c r="I61" s="3">
        <v>31</v>
      </c>
      <c r="J61" s="3" t="s">
        <v>5273</v>
      </c>
      <c r="K61" s="17" t="str">
        <f>HYPERLINK("http://ictvonline.org/taxonomyHistory.asp?taxnode_id=20170075","ICTVonline=20170075")</f>
        <v>ICTVonline=20170075</v>
      </c>
      <c r="L61" s="3">
        <v>60</v>
      </c>
    </row>
    <row r="62" spans="1:12" x14ac:dyDescent="0.15">
      <c r="A62" s="1" t="s">
        <v>4268</v>
      </c>
      <c r="B62" s="1" t="s">
        <v>4272</v>
      </c>
      <c r="D62" s="1" t="s">
        <v>4273</v>
      </c>
      <c r="E62" s="1" t="s">
        <v>4348</v>
      </c>
      <c r="F62" s="3">
        <v>0</v>
      </c>
      <c r="G62" s="8" t="s">
        <v>2772</v>
      </c>
      <c r="H62" s="8" t="s">
        <v>5159</v>
      </c>
      <c r="I62" s="3">
        <v>31</v>
      </c>
      <c r="J62" s="3" t="s">
        <v>5273</v>
      </c>
      <c r="K62" s="17" t="str">
        <f>HYPERLINK("http://ictvonline.org/taxonomyHistory.asp?taxnode_id=20170076","ICTVonline=20170076")</f>
        <v>ICTVonline=20170076</v>
      </c>
      <c r="L62" s="3">
        <v>61</v>
      </c>
    </row>
    <row r="63" spans="1:12" x14ac:dyDescent="0.15">
      <c r="A63" s="1" t="s">
        <v>4268</v>
      </c>
      <c r="B63" s="1" t="s">
        <v>4272</v>
      </c>
      <c r="D63" s="1" t="s">
        <v>4273</v>
      </c>
      <c r="E63" s="1" t="s">
        <v>4349</v>
      </c>
      <c r="F63" s="3">
        <v>0</v>
      </c>
      <c r="G63" s="8" t="s">
        <v>2772</v>
      </c>
      <c r="H63" s="8" t="s">
        <v>5159</v>
      </c>
      <c r="I63" s="3">
        <v>31</v>
      </c>
      <c r="J63" s="3" t="s">
        <v>5273</v>
      </c>
      <c r="K63" s="17" t="str">
        <f>HYPERLINK("http://ictvonline.org/taxonomyHistory.asp?taxnode_id=20170077","ICTVonline=20170077")</f>
        <v>ICTVonline=20170077</v>
      </c>
      <c r="L63" s="3">
        <v>62</v>
      </c>
    </row>
    <row r="64" spans="1:12" x14ac:dyDescent="0.15">
      <c r="A64" s="1" t="s">
        <v>4268</v>
      </c>
      <c r="B64" s="1" t="s">
        <v>4272</v>
      </c>
      <c r="D64" s="1" t="s">
        <v>4273</v>
      </c>
      <c r="E64" s="1" t="s">
        <v>4234</v>
      </c>
      <c r="F64" s="3">
        <v>0</v>
      </c>
      <c r="G64" s="8" t="s">
        <v>2772</v>
      </c>
      <c r="H64" s="8" t="s">
        <v>5160</v>
      </c>
      <c r="I64" s="3">
        <v>31</v>
      </c>
      <c r="J64" s="3" t="s">
        <v>5264</v>
      </c>
      <c r="K64" s="17" t="str">
        <f>HYPERLINK("http://ictvonline.org/taxonomyHistory.asp?taxnode_id=20170078","ICTVonline=20170078")</f>
        <v>ICTVonline=20170078</v>
      </c>
      <c r="L64" s="3">
        <v>63</v>
      </c>
    </row>
    <row r="65" spans="1:12" x14ac:dyDescent="0.15">
      <c r="A65" s="1" t="s">
        <v>4268</v>
      </c>
      <c r="B65" s="1" t="s">
        <v>4272</v>
      </c>
      <c r="D65" s="1" t="s">
        <v>4273</v>
      </c>
      <c r="E65" s="1" t="s">
        <v>4235</v>
      </c>
      <c r="F65" s="3">
        <v>0</v>
      </c>
      <c r="G65" s="8" t="s">
        <v>2772</v>
      </c>
      <c r="H65" s="8" t="s">
        <v>5160</v>
      </c>
      <c r="I65" s="3">
        <v>31</v>
      </c>
      <c r="J65" s="3" t="s">
        <v>5264</v>
      </c>
      <c r="K65" s="17" t="str">
        <f>HYPERLINK("http://ictvonline.org/taxonomyHistory.asp?taxnode_id=20170079","ICTVonline=20170079")</f>
        <v>ICTVonline=20170079</v>
      </c>
      <c r="L65" s="3">
        <v>64</v>
      </c>
    </row>
    <row r="66" spans="1:12" x14ac:dyDescent="0.15">
      <c r="A66" s="1" t="s">
        <v>4268</v>
      </c>
      <c r="B66" s="1" t="s">
        <v>4272</v>
      </c>
      <c r="D66" s="1" t="s">
        <v>4273</v>
      </c>
      <c r="E66" s="1" t="s">
        <v>5274</v>
      </c>
      <c r="F66" s="3">
        <v>0</v>
      </c>
      <c r="G66" s="8" t="s">
        <v>2772</v>
      </c>
      <c r="H66" s="8" t="s">
        <v>5162</v>
      </c>
      <c r="I66" s="3">
        <v>32</v>
      </c>
      <c r="J66" s="3" t="s">
        <v>5271</v>
      </c>
      <c r="K66" s="17" t="str">
        <f>HYPERLINK("http://ictvonline.org/taxonomyHistory.asp?taxnode_id=20170069","ICTVonline=20170069")</f>
        <v>ICTVonline=20170069</v>
      </c>
      <c r="L66" s="3">
        <v>65</v>
      </c>
    </row>
    <row r="67" spans="1:12" x14ac:dyDescent="0.15">
      <c r="A67" s="1" t="s">
        <v>4268</v>
      </c>
      <c r="B67" s="1" t="s">
        <v>4272</v>
      </c>
      <c r="D67" s="1" t="s">
        <v>4273</v>
      </c>
      <c r="E67" s="1" t="s">
        <v>4236</v>
      </c>
      <c r="F67" s="3">
        <v>0</v>
      </c>
      <c r="G67" s="8" t="s">
        <v>2772</v>
      </c>
      <c r="H67" s="8" t="s">
        <v>5160</v>
      </c>
      <c r="I67" s="3">
        <v>31</v>
      </c>
      <c r="J67" s="3" t="s">
        <v>5264</v>
      </c>
      <c r="K67" s="17" t="str">
        <f>HYPERLINK("http://ictvonline.org/taxonomyHistory.asp?taxnode_id=20170080","ICTVonline=20170080")</f>
        <v>ICTVonline=20170080</v>
      </c>
      <c r="L67" s="3">
        <v>66</v>
      </c>
    </row>
    <row r="68" spans="1:12" x14ac:dyDescent="0.15">
      <c r="A68" s="1" t="s">
        <v>4268</v>
      </c>
      <c r="B68" s="1" t="s">
        <v>4274</v>
      </c>
      <c r="D68" s="1" t="s">
        <v>4339</v>
      </c>
      <c r="E68" s="1" t="s">
        <v>4340</v>
      </c>
      <c r="F68" s="3">
        <v>1</v>
      </c>
      <c r="G68" s="8" t="s">
        <v>2772</v>
      </c>
      <c r="H68" s="8" t="s">
        <v>5159</v>
      </c>
      <c r="I68" s="3">
        <v>31</v>
      </c>
      <c r="J68" s="3" t="s">
        <v>5275</v>
      </c>
      <c r="K68" s="17" t="str">
        <f>HYPERLINK("http://ictvonline.org/taxonomyHistory.asp?taxnode_id=20170083","ICTVonline=20170083")</f>
        <v>ICTVonline=20170083</v>
      </c>
      <c r="L68" s="3">
        <v>67</v>
      </c>
    </row>
    <row r="69" spans="1:12" x14ac:dyDescent="0.15">
      <c r="A69" s="1" t="s">
        <v>4268</v>
      </c>
      <c r="B69" s="1" t="s">
        <v>4274</v>
      </c>
      <c r="D69" s="1" t="s">
        <v>4339</v>
      </c>
      <c r="E69" s="1" t="s">
        <v>4341</v>
      </c>
      <c r="F69" s="3">
        <v>0</v>
      </c>
      <c r="G69" s="8" t="s">
        <v>2772</v>
      </c>
      <c r="H69" s="8" t="s">
        <v>5159</v>
      </c>
      <c r="I69" s="3">
        <v>31</v>
      </c>
      <c r="J69" s="3" t="s">
        <v>5275</v>
      </c>
      <c r="K69" s="17" t="str">
        <f>HYPERLINK("http://ictvonline.org/taxonomyHistory.asp?taxnode_id=20170084","ICTVonline=20170084")</f>
        <v>ICTVonline=20170084</v>
      </c>
      <c r="L69" s="3">
        <v>68</v>
      </c>
    </row>
    <row r="70" spans="1:12" x14ac:dyDescent="0.15">
      <c r="A70" s="1" t="s">
        <v>4268</v>
      </c>
      <c r="B70" s="1" t="s">
        <v>4274</v>
      </c>
      <c r="D70" s="1" t="s">
        <v>4339</v>
      </c>
      <c r="E70" s="1" t="s">
        <v>4342</v>
      </c>
      <c r="F70" s="3">
        <v>0</v>
      </c>
      <c r="G70" s="8" t="s">
        <v>2772</v>
      </c>
      <c r="H70" s="8" t="s">
        <v>5159</v>
      </c>
      <c r="I70" s="3">
        <v>31</v>
      </c>
      <c r="J70" s="3" t="s">
        <v>5275</v>
      </c>
      <c r="K70" s="17" t="str">
        <f>HYPERLINK("http://ictvonline.org/taxonomyHistory.asp?taxnode_id=20170085","ICTVonline=20170085")</f>
        <v>ICTVonline=20170085</v>
      </c>
      <c r="L70" s="3">
        <v>69</v>
      </c>
    </row>
    <row r="71" spans="1:12" x14ac:dyDescent="0.15">
      <c r="A71" s="1" t="s">
        <v>4268</v>
      </c>
      <c r="B71" s="1" t="s">
        <v>4274</v>
      </c>
      <c r="D71" s="1" t="s">
        <v>4339</v>
      </c>
      <c r="E71" s="1" t="s">
        <v>4343</v>
      </c>
      <c r="F71" s="3">
        <v>0</v>
      </c>
      <c r="G71" s="8" t="s">
        <v>2772</v>
      </c>
      <c r="H71" s="8" t="s">
        <v>5159</v>
      </c>
      <c r="I71" s="3">
        <v>31</v>
      </c>
      <c r="J71" s="3" t="s">
        <v>5275</v>
      </c>
      <c r="K71" s="17" t="str">
        <f>HYPERLINK("http://ictvonline.org/taxonomyHistory.asp?taxnode_id=20170086","ICTVonline=20170086")</f>
        <v>ICTVonline=20170086</v>
      </c>
      <c r="L71" s="3">
        <v>70</v>
      </c>
    </row>
    <row r="72" spans="1:12" x14ac:dyDescent="0.15">
      <c r="A72" s="1" t="s">
        <v>4268</v>
      </c>
      <c r="B72" s="1" t="s">
        <v>4274</v>
      </c>
      <c r="D72" s="1" t="s">
        <v>1994</v>
      </c>
      <c r="E72" s="1" t="s">
        <v>3830</v>
      </c>
      <c r="F72" s="3">
        <v>0</v>
      </c>
      <c r="G72" s="8" t="s">
        <v>2772</v>
      </c>
      <c r="H72" s="8" t="s">
        <v>5161</v>
      </c>
      <c r="I72" s="3">
        <v>31</v>
      </c>
      <c r="J72" s="3" t="s">
        <v>5264</v>
      </c>
      <c r="K72" s="17" t="str">
        <f>HYPERLINK("http://ictvonline.org/taxonomyHistory.asp?taxnode_id=20170089","ICTVonline=20170089")</f>
        <v>ICTVonline=20170089</v>
      </c>
      <c r="L72" s="3">
        <v>71</v>
      </c>
    </row>
    <row r="73" spans="1:12" x14ac:dyDescent="0.15">
      <c r="A73" s="1" t="s">
        <v>4268</v>
      </c>
      <c r="B73" s="1" t="s">
        <v>4274</v>
      </c>
      <c r="D73" s="1" t="s">
        <v>1994</v>
      </c>
      <c r="E73" s="1" t="s">
        <v>3831</v>
      </c>
      <c r="F73" s="3">
        <v>0</v>
      </c>
      <c r="G73" s="8" t="s">
        <v>2772</v>
      </c>
      <c r="H73" s="8" t="s">
        <v>5161</v>
      </c>
      <c r="I73" s="3">
        <v>31</v>
      </c>
      <c r="J73" s="3" t="s">
        <v>5264</v>
      </c>
      <c r="K73" s="17" t="str">
        <f>HYPERLINK("http://ictvonline.org/taxonomyHistory.asp?taxnode_id=20170090","ICTVonline=20170090")</f>
        <v>ICTVonline=20170090</v>
      </c>
      <c r="L73" s="3">
        <v>72</v>
      </c>
    </row>
    <row r="74" spans="1:12" x14ac:dyDescent="0.15">
      <c r="A74" s="1" t="s">
        <v>4268</v>
      </c>
      <c r="B74" s="1" t="s">
        <v>4274</v>
      </c>
      <c r="D74" s="1" t="s">
        <v>1994</v>
      </c>
      <c r="E74" s="1" t="s">
        <v>3832</v>
      </c>
      <c r="F74" s="3">
        <v>0</v>
      </c>
      <c r="G74" s="8" t="s">
        <v>2772</v>
      </c>
      <c r="H74" s="8" t="s">
        <v>5161</v>
      </c>
      <c r="I74" s="3">
        <v>31</v>
      </c>
      <c r="J74" s="3" t="s">
        <v>5264</v>
      </c>
      <c r="K74" s="17" t="str">
        <f>HYPERLINK("http://ictvonline.org/taxonomyHistory.asp?taxnode_id=20170091","ICTVonline=20170091")</f>
        <v>ICTVonline=20170091</v>
      </c>
      <c r="L74" s="3">
        <v>73</v>
      </c>
    </row>
    <row r="75" spans="1:12" x14ac:dyDescent="0.15">
      <c r="A75" s="1" t="s">
        <v>4268</v>
      </c>
      <c r="B75" s="1" t="s">
        <v>4274</v>
      </c>
      <c r="D75" s="1" t="s">
        <v>1994</v>
      </c>
      <c r="E75" s="1" t="s">
        <v>3833</v>
      </c>
      <c r="F75" s="3">
        <v>0</v>
      </c>
      <c r="G75" s="8" t="s">
        <v>2772</v>
      </c>
      <c r="H75" s="8" t="s">
        <v>5161</v>
      </c>
      <c r="I75" s="3">
        <v>31</v>
      </c>
      <c r="J75" s="3" t="s">
        <v>5264</v>
      </c>
      <c r="K75" s="17" t="str">
        <f>HYPERLINK("http://ictvonline.org/taxonomyHistory.asp?taxnode_id=20170092","ICTVonline=20170092")</f>
        <v>ICTVonline=20170092</v>
      </c>
      <c r="L75" s="3">
        <v>74</v>
      </c>
    </row>
    <row r="76" spans="1:12" x14ac:dyDescent="0.15">
      <c r="A76" s="1" t="s">
        <v>4268</v>
      </c>
      <c r="B76" s="1" t="s">
        <v>4274</v>
      </c>
      <c r="D76" s="1" t="s">
        <v>1994</v>
      </c>
      <c r="E76" s="1" t="s">
        <v>3834</v>
      </c>
      <c r="F76" s="3">
        <v>0</v>
      </c>
      <c r="G76" s="8" t="s">
        <v>2772</v>
      </c>
      <c r="H76" s="8" t="s">
        <v>5161</v>
      </c>
      <c r="I76" s="3">
        <v>31</v>
      </c>
      <c r="J76" s="3" t="s">
        <v>5264</v>
      </c>
      <c r="K76" s="17" t="str">
        <f>HYPERLINK("http://ictvonline.org/taxonomyHistory.asp?taxnode_id=20170093","ICTVonline=20170093")</f>
        <v>ICTVonline=20170093</v>
      </c>
      <c r="L76" s="3">
        <v>75</v>
      </c>
    </row>
    <row r="77" spans="1:12" x14ac:dyDescent="0.15">
      <c r="A77" s="1" t="s">
        <v>4268</v>
      </c>
      <c r="B77" s="1" t="s">
        <v>4274</v>
      </c>
      <c r="D77" s="1" t="s">
        <v>1994</v>
      </c>
      <c r="E77" s="1" t="s">
        <v>3835</v>
      </c>
      <c r="F77" s="3">
        <v>0</v>
      </c>
      <c r="G77" s="8" t="s">
        <v>2772</v>
      </c>
      <c r="H77" s="8" t="s">
        <v>5161</v>
      </c>
      <c r="I77" s="3">
        <v>31</v>
      </c>
      <c r="J77" s="3" t="s">
        <v>5264</v>
      </c>
      <c r="K77" s="17" t="str">
        <f>HYPERLINK("http://ictvonline.org/taxonomyHistory.asp?taxnode_id=20170094","ICTVonline=20170094")</f>
        <v>ICTVonline=20170094</v>
      </c>
      <c r="L77" s="3">
        <v>76</v>
      </c>
    </row>
    <row r="78" spans="1:12" x14ac:dyDescent="0.15">
      <c r="A78" s="1" t="s">
        <v>4268</v>
      </c>
      <c r="B78" s="1" t="s">
        <v>4274</v>
      </c>
      <c r="D78" s="1" t="s">
        <v>1994</v>
      </c>
      <c r="E78" s="1" t="s">
        <v>3836</v>
      </c>
      <c r="F78" s="3">
        <v>0</v>
      </c>
      <c r="G78" s="8" t="s">
        <v>2772</v>
      </c>
      <c r="H78" s="8" t="s">
        <v>5161</v>
      </c>
      <c r="I78" s="3">
        <v>31</v>
      </c>
      <c r="J78" s="3" t="s">
        <v>5264</v>
      </c>
      <c r="K78" s="17" t="str">
        <f>HYPERLINK("http://ictvonline.org/taxonomyHistory.asp?taxnode_id=20170095","ICTVonline=20170095")</f>
        <v>ICTVonline=20170095</v>
      </c>
      <c r="L78" s="3">
        <v>77</v>
      </c>
    </row>
    <row r="79" spans="1:12" x14ac:dyDescent="0.15">
      <c r="A79" s="1" t="s">
        <v>4268</v>
      </c>
      <c r="B79" s="1" t="s">
        <v>4274</v>
      </c>
      <c r="D79" s="1" t="s">
        <v>1994</v>
      </c>
      <c r="E79" s="1" t="s">
        <v>3837</v>
      </c>
      <c r="F79" s="3">
        <v>0</v>
      </c>
      <c r="G79" s="8" t="s">
        <v>2772</v>
      </c>
      <c r="H79" s="8" t="s">
        <v>5161</v>
      </c>
      <c r="I79" s="3">
        <v>31</v>
      </c>
      <c r="J79" s="3" t="s">
        <v>5264</v>
      </c>
      <c r="K79" s="17" t="str">
        <f>HYPERLINK("http://ictvonline.org/taxonomyHistory.asp?taxnode_id=20170096","ICTVonline=20170096")</f>
        <v>ICTVonline=20170096</v>
      </c>
      <c r="L79" s="3">
        <v>78</v>
      </c>
    </row>
    <row r="80" spans="1:12" x14ac:dyDescent="0.15">
      <c r="A80" s="1" t="s">
        <v>4268</v>
      </c>
      <c r="B80" s="1" t="s">
        <v>4274</v>
      </c>
      <c r="D80" s="1" t="s">
        <v>1994</v>
      </c>
      <c r="E80" s="1" t="s">
        <v>3838</v>
      </c>
      <c r="F80" s="3">
        <v>0</v>
      </c>
      <c r="G80" s="8" t="s">
        <v>2772</v>
      </c>
      <c r="H80" s="8" t="s">
        <v>5161</v>
      </c>
      <c r="I80" s="3">
        <v>31</v>
      </c>
      <c r="J80" s="3" t="s">
        <v>5264</v>
      </c>
      <c r="K80" s="17" t="str">
        <f>HYPERLINK("http://ictvonline.org/taxonomyHistory.asp?taxnode_id=20170097","ICTVonline=20170097")</f>
        <v>ICTVonline=20170097</v>
      </c>
      <c r="L80" s="3">
        <v>79</v>
      </c>
    </row>
    <row r="81" spans="1:12" x14ac:dyDescent="0.15">
      <c r="A81" s="1" t="s">
        <v>4268</v>
      </c>
      <c r="B81" s="1" t="s">
        <v>4274</v>
      </c>
      <c r="D81" s="1" t="s">
        <v>1994</v>
      </c>
      <c r="E81" s="1" t="s">
        <v>3839</v>
      </c>
      <c r="F81" s="3">
        <v>0</v>
      </c>
      <c r="G81" s="8" t="s">
        <v>2772</v>
      </c>
      <c r="H81" s="8" t="s">
        <v>5161</v>
      </c>
      <c r="I81" s="3">
        <v>31</v>
      </c>
      <c r="J81" s="3" t="s">
        <v>5264</v>
      </c>
      <c r="K81" s="17" t="str">
        <f>HYPERLINK("http://ictvonline.org/taxonomyHistory.asp?taxnode_id=20170098","ICTVonline=20170098")</f>
        <v>ICTVonline=20170098</v>
      </c>
      <c r="L81" s="3">
        <v>80</v>
      </c>
    </row>
    <row r="82" spans="1:12" x14ac:dyDescent="0.15">
      <c r="A82" s="1" t="s">
        <v>4268</v>
      </c>
      <c r="B82" s="1" t="s">
        <v>4274</v>
      </c>
      <c r="D82" s="1" t="s">
        <v>1994</v>
      </c>
      <c r="E82" s="1" t="s">
        <v>3840</v>
      </c>
      <c r="F82" s="3">
        <v>0</v>
      </c>
      <c r="G82" s="8" t="s">
        <v>2772</v>
      </c>
      <c r="H82" s="8" t="s">
        <v>5161</v>
      </c>
      <c r="I82" s="3">
        <v>31</v>
      </c>
      <c r="J82" s="3" t="s">
        <v>5264</v>
      </c>
      <c r="K82" s="17" t="str">
        <f>HYPERLINK("http://ictvonline.org/taxonomyHistory.asp?taxnode_id=20170099","ICTVonline=20170099")</f>
        <v>ICTVonline=20170099</v>
      </c>
      <c r="L82" s="3">
        <v>81</v>
      </c>
    </row>
    <row r="83" spans="1:12" x14ac:dyDescent="0.15">
      <c r="A83" s="1" t="s">
        <v>4268</v>
      </c>
      <c r="B83" s="1" t="s">
        <v>4274</v>
      </c>
      <c r="D83" s="1" t="s">
        <v>1994</v>
      </c>
      <c r="E83" s="1" t="s">
        <v>3841</v>
      </c>
      <c r="F83" s="3">
        <v>1</v>
      </c>
      <c r="G83" s="8" t="s">
        <v>2772</v>
      </c>
      <c r="H83" s="8" t="s">
        <v>5161</v>
      </c>
      <c r="I83" s="3">
        <v>31</v>
      </c>
      <c r="J83" s="3" t="s">
        <v>5264</v>
      </c>
      <c r="K83" s="17" t="str">
        <f>HYPERLINK("http://ictvonline.org/taxonomyHistory.asp?taxnode_id=20170100","ICTVonline=20170100")</f>
        <v>ICTVonline=20170100</v>
      </c>
      <c r="L83" s="3">
        <v>82</v>
      </c>
    </row>
    <row r="84" spans="1:12" x14ac:dyDescent="0.15">
      <c r="A84" s="1" t="s">
        <v>4268</v>
      </c>
      <c r="B84" s="1" t="s">
        <v>4274</v>
      </c>
      <c r="D84" s="1" t="s">
        <v>1994</v>
      </c>
      <c r="E84" s="1" t="s">
        <v>3842</v>
      </c>
      <c r="F84" s="3">
        <v>0</v>
      </c>
      <c r="G84" s="8" t="s">
        <v>2772</v>
      </c>
      <c r="H84" s="8" t="s">
        <v>5161</v>
      </c>
      <c r="I84" s="3">
        <v>31</v>
      </c>
      <c r="J84" s="3" t="s">
        <v>5264</v>
      </c>
      <c r="K84" s="17" t="str">
        <f>HYPERLINK("http://ictvonline.org/taxonomyHistory.asp?taxnode_id=20170101","ICTVonline=20170101")</f>
        <v>ICTVonline=20170101</v>
      </c>
      <c r="L84" s="3">
        <v>83</v>
      </c>
    </row>
    <row r="85" spans="1:12" x14ac:dyDescent="0.15">
      <c r="A85" s="1" t="s">
        <v>4268</v>
      </c>
      <c r="B85" s="1" t="s">
        <v>4274</v>
      </c>
      <c r="D85" s="1" t="s">
        <v>1994</v>
      </c>
      <c r="E85" s="1" t="s">
        <v>3843</v>
      </c>
      <c r="F85" s="3">
        <v>0</v>
      </c>
      <c r="G85" s="8" t="s">
        <v>2772</v>
      </c>
      <c r="H85" s="8" t="s">
        <v>5161</v>
      </c>
      <c r="I85" s="3">
        <v>31</v>
      </c>
      <c r="J85" s="3" t="s">
        <v>5264</v>
      </c>
      <c r="K85" s="17" t="str">
        <f>HYPERLINK("http://ictvonline.org/taxonomyHistory.asp?taxnode_id=20170102","ICTVonline=20170102")</f>
        <v>ICTVonline=20170102</v>
      </c>
      <c r="L85" s="3">
        <v>84</v>
      </c>
    </row>
    <row r="86" spans="1:12" x14ac:dyDescent="0.15">
      <c r="A86" s="1" t="s">
        <v>4268</v>
      </c>
      <c r="B86" s="1" t="s">
        <v>4274</v>
      </c>
      <c r="D86" s="1" t="s">
        <v>1994</v>
      </c>
      <c r="E86" s="1" t="s">
        <v>3844</v>
      </c>
      <c r="F86" s="3">
        <v>0</v>
      </c>
      <c r="G86" s="8" t="s">
        <v>2772</v>
      </c>
      <c r="H86" s="8" t="s">
        <v>5161</v>
      </c>
      <c r="I86" s="3">
        <v>31</v>
      </c>
      <c r="J86" s="3" t="s">
        <v>5264</v>
      </c>
      <c r="K86" s="17" t="str">
        <f>HYPERLINK("http://ictvonline.org/taxonomyHistory.asp?taxnode_id=20170103","ICTVonline=20170103")</f>
        <v>ICTVonline=20170103</v>
      </c>
      <c r="L86" s="3">
        <v>85</v>
      </c>
    </row>
    <row r="87" spans="1:12" x14ac:dyDescent="0.15">
      <c r="A87" s="1" t="s">
        <v>4268</v>
      </c>
      <c r="B87" s="1" t="s">
        <v>4274</v>
      </c>
      <c r="D87" s="1" t="s">
        <v>1994</v>
      </c>
      <c r="E87" s="1" t="s">
        <v>3845</v>
      </c>
      <c r="F87" s="3">
        <v>0</v>
      </c>
      <c r="G87" s="8" t="s">
        <v>2772</v>
      </c>
      <c r="H87" s="8" t="s">
        <v>5161</v>
      </c>
      <c r="I87" s="3">
        <v>31</v>
      </c>
      <c r="J87" s="3" t="s">
        <v>5264</v>
      </c>
      <c r="K87" s="17" t="str">
        <f>HYPERLINK("http://ictvonline.org/taxonomyHistory.asp?taxnode_id=20170104","ICTVonline=20170104")</f>
        <v>ICTVonline=20170104</v>
      </c>
      <c r="L87" s="3">
        <v>86</v>
      </c>
    </row>
    <row r="88" spans="1:12" x14ac:dyDescent="0.15">
      <c r="A88" s="1" t="s">
        <v>4268</v>
      </c>
      <c r="B88" s="1" t="s">
        <v>4274</v>
      </c>
      <c r="D88" s="1" t="s">
        <v>1994</v>
      </c>
      <c r="E88" s="1" t="s">
        <v>3846</v>
      </c>
      <c r="F88" s="3">
        <v>0</v>
      </c>
      <c r="G88" s="8" t="s">
        <v>2772</v>
      </c>
      <c r="H88" s="8" t="s">
        <v>5161</v>
      </c>
      <c r="I88" s="3">
        <v>31</v>
      </c>
      <c r="J88" s="3" t="s">
        <v>5264</v>
      </c>
      <c r="K88" s="17" t="str">
        <f>HYPERLINK("http://ictvonline.org/taxonomyHistory.asp?taxnode_id=20170105","ICTVonline=20170105")</f>
        <v>ICTVonline=20170105</v>
      </c>
      <c r="L88" s="3">
        <v>87</v>
      </c>
    </row>
    <row r="89" spans="1:12" x14ac:dyDescent="0.15">
      <c r="A89" s="1" t="s">
        <v>4268</v>
      </c>
      <c r="B89" s="1" t="s">
        <v>4274</v>
      </c>
      <c r="D89" s="1" t="s">
        <v>1994</v>
      </c>
      <c r="E89" s="1" t="s">
        <v>3847</v>
      </c>
      <c r="F89" s="3">
        <v>0</v>
      </c>
      <c r="G89" s="8" t="s">
        <v>2772</v>
      </c>
      <c r="H89" s="8" t="s">
        <v>5161</v>
      </c>
      <c r="I89" s="3">
        <v>31</v>
      </c>
      <c r="J89" s="3" t="s">
        <v>5264</v>
      </c>
      <c r="K89" s="17" t="str">
        <f>HYPERLINK("http://ictvonline.org/taxonomyHistory.asp?taxnode_id=20170106","ICTVonline=20170106")</f>
        <v>ICTVonline=20170106</v>
      </c>
      <c r="L89" s="3">
        <v>88</v>
      </c>
    </row>
    <row r="90" spans="1:12" x14ac:dyDescent="0.15">
      <c r="A90" s="1" t="s">
        <v>4268</v>
      </c>
      <c r="B90" s="1" t="s">
        <v>4274</v>
      </c>
      <c r="D90" s="1" t="s">
        <v>1994</v>
      </c>
      <c r="E90" s="1" t="s">
        <v>3848</v>
      </c>
      <c r="F90" s="3">
        <v>0</v>
      </c>
      <c r="G90" s="8" t="s">
        <v>2772</v>
      </c>
      <c r="H90" s="8" t="s">
        <v>5161</v>
      </c>
      <c r="I90" s="3">
        <v>31</v>
      </c>
      <c r="J90" s="3" t="s">
        <v>5264</v>
      </c>
      <c r="K90" s="17" t="str">
        <f>HYPERLINK("http://ictvonline.org/taxonomyHistory.asp?taxnode_id=20170107","ICTVonline=20170107")</f>
        <v>ICTVonline=20170107</v>
      </c>
      <c r="L90" s="3">
        <v>89</v>
      </c>
    </row>
    <row r="91" spans="1:12" x14ac:dyDescent="0.15">
      <c r="A91" s="1" t="s">
        <v>4268</v>
      </c>
      <c r="B91" s="1" t="s">
        <v>4274</v>
      </c>
      <c r="D91" s="1" t="s">
        <v>1994</v>
      </c>
      <c r="E91" s="1" t="s">
        <v>3849</v>
      </c>
      <c r="F91" s="3">
        <v>0</v>
      </c>
      <c r="G91" s="8" t="s">
        <v>2772</v>
      </c>
      <c r="H91" s="8" t="s">
        <v>5161</v>
      </c>
      <c r="I91" s="3">
        <v>31</v>
      </c>
      <c r="J91" s="3" t="s">
        <v>5264</v>
      </c>
      <c r="K91" s="17" t="str">
        <f>HYPERLINK("http://ictvonline.org/taxonomyHistory.asp?taxnode_id=20170108","ICTVonline=20170108")</f>
        <v>ICTVonline=20170108</v>
      </c>
      <c r="L91" s="3">
        <v>90</v>
      </c>
    </row>
    <row r="92" spans="1:12" x14ac:dyDescent="0.15">
      <c r="A92" s="1" t="s">
        <v>4268</v>
      </c>
      <c r="B92" s="1" t="s">
        <v>4274</v>
      </c>
      <c r="D92" s="1" t="s">
        <v>1994</v>
      </c>
      <c r="E92" s="1" t="s">
        <v>3850</v>
      </c>
      <c r="F92" s="3">
        <v>0</v>
      </c>
      <c r="G92" s="8" t="s">
        <v>2772</v>
      </c>
      <c r="H92" s="8" t="s">
        <v>5161</v>
      </c>
      <c r="I92" s="3">
        <v>31</v>
      </c>
      <c r="J92" s="3" t="s">
        <v>5264</v>
      </c>
      <c r="K92" s="17" t="str">
        <f>HYPERLINK("http://ictvonline.org/taxonomyHistory.asp?taxnode_id=20170109","ICTVonline=20170109")</f>
        <v>ICTVonline=20170109</v>
      </c>
      <c r="L92" s="3">
        <v>91</v>
      </c>
    </row>
    <row r="93" spans="1:12" x14ac:dyDescent="0.15">
      <c r="A93" s="1" t="s">
        <v>4268</v>
      </c>
      <c r="B93" s="1" t="s">
        <v>4274</v>
      </c>
      <c r="D93" s="1" t="s">
        <v>1994</v>
      </c>
      <c r="E93" s="1" t="s">
        <v>3851</v>
      </c>
      <c r="F93" s="3">
        <v>0</v>
      </c>
      <c r="G93" s="8" t="s">
        <v>2772</v>
      </c>
      <c r="H93" s="8" t="s">
        <v>5161</v>
      </c>
      <c r="I93" s="3">
        <v>31</v>
      </c>
      <c r="J93" s="3" t="s">
        <v>5264</v>
      </c>
      <c r="K93" s="17" t="str">
        <f>HYPERLINK("http://ictvonline.org/taxonomyHistory.asp?taxnode_id=20170110","ICTVonline=20170110")</f>
        <v>ICTVonline=20170110</v>
      </c>
      <c r="L93" s="3">
        <v>92</v>
      </c>
    </row>
    <row r="94" spans="1:12" x14ac:dyDescent="0.15">
      <c r="A94" s="1" t="s">
        <v>4268</v>
      </c>
      <c r="B94" s="1" t="s">
        <v>4274</v>
      </c>
      <c r="D94" s="1" t="s">
        <v>1994</v>
      </c>
      <c r="E94" s="1" t="s">
        <v>3852</v>
      </c>
      <c r="F94" s="3">
        <v>0</v>
      </c>
      <c r="G94" s="8" t="s">
        <v>2772</v>
      </c>
      <c r="H94" s="8" t="s">
        <v>5161</v>
      </c>
      <c r="I94" s="3">
        <v>31</v>
      </c>
      <c r="J94" s="3" t="s">
        <v>5264</v>
      </c>
      <c r="K94" s="17" t="str">
        <f>HYPERLINK("http://ictvonline.org/taxonomyHistory.asp?taxnode_id=20170111","ICTVonline=20170111")</f>
        <v>ICTVonline=20170111</v>
      </c>
      <c r="L94" s="3">
        <v>93</v>
      </c>
    </row>
    <row r="95" spans="1:12" x14ac:dyDescent="0.15">
      <c r="A95" s="1" t="s">
        <v>4268</v>
      </c>
      <c r="B95" s="1" t="s">
        <v>4274</v>
      </c>
      <c r="D95" s="1" t="s">
        <v>1994</v>
      </c>
      <c r="E95" s="1" t="s">
        <v>3853</v>
      </c>
      <c r="F95" s="3">
        <v>0</v>
      </c>
      <c r="G95" s="8" t="s">
        <v>2772</v>
      </c>
      <c r="H95" s="8" t="s">
        <v>5161</v>
      </c>
      <c r="I95" s="3">
        <v>31</v>
      </c>
      <c r="J95" s="3" t="s">
        <v>5264</v>
      </c>
      <c r="K95" s="17" t="str">
        <f>HYPERLINK("http://ictvonline.org/taxonomyHistory.asp?taxnode_id=20170112","ICTVonline=20170112")</f>
        <v>ICTVonline=20170112</v>
      </c>
      <c r="L95" s="3">
        <v>94</v>
      </c>
    </row>
    <row r="96" spans="1:12" x14ac:dyDescent="0.15">
      <c r="A96" s="1" t="s">
        <v>4268</v>
      </c>
      <c r="B96" s="1" t="s">
        <v>4274</v>
      </c>
      <c r="D96" s="1" t="s">
        <v>1994</v>
      </c>
      <c r="E96" s="1" t="s">
        <v>3854</v>
      </c>
      <c r="F96" s="3">
        <v>0</v>
      </c>
      <c r="G96" s="8" t="s">
        <v>2772</v>
      </c>
      <c r="H96" s="8" t="s">
        <v>5161</v>
      </c>
      <c r="I96" s="3">
        <v>31</v>
      </c>
      <c r="J96" s="3" t="s">
        <v>5264</v>
      </c>
      <c r="K96" s="17" t="str">
        <f>HYPERLINK("http://ictvonline.org/taxonomyHistory.asp?taxnode_id=20170113","ICTVonline=20170113")</f>
        <v>ICTVonline=20170113</v>
      </c>
      <c r="L96" s="3">
        <v>95</v>
      </c>
    </row>
    <row r="97" spans="1:12" x14ac:dyDescent="0.15">
      <c r="A97" s="1" t="s">
        <v>4268</v>
      </c>
      <c r="B97" s="1" t="s">
        <v>4274</v>
      </c>
      <c r="D97" s="1" t="s">
        <v>1994</v>
      </c>
      <c r="E97" s="1" t="s">
        <v>3855</v>
      </c>
      <c r="F97" s="3">
        <v>0</v>
      </c>
      <c r="G97" s="8" t="s">
        <v>2772</v>
      </c>
      <c r="H97" s="8" t="s">
        <v>5161</v>
      </c>
      <c r="I97" s="3">
        <v>31</v>
      </c>
      <c r="J97" s="3" t="s">
        <v>5264</v>
      </c>
      <c r="K97" s="17" t="str">
        <f>HYPERLINK("http://ictvonline.org/taxonomyHistory.asp?taxnode_id=20170114","ICTVonline=20170114")</f>
        <v>ICTVonline=20170114</v>
      </c>
      <c r="L97" s="3">
        <v>96</v>
      </c>
    </row>
    <row r="98" spans="1:12" x14ac:dyDescent="0.15">
      <c r="A98" s="1" t="s">
        <v>4268</v>
      </c>
      <c r="B98" s="1" t="s">
        <v>4274</v>
      </c>
      <c r="D98" s="1" t="s">
        <v>1994</v>
      </c>
      <c r="E98" s="1" t="s">
        <v>3856</v>
      </c>
      <c r="F98" s="3">
        <v>0</v>
      </c>
      <c r="G98" s="8" t="s">
        <v>2772</v>
      </c>
      <c r="H98" s="8" t="s">
        <v>5161</v>
      </c>
      <c r="I98" s="3">
        <v>31</v>
      </c>
      <c r="J98" s="3" t="s">
        <v>5264</v>
      </c>
      <c r="K98" s="17" t="str">
        <f>HYPERLINK("http://ictvonline.org/taxonomyHistory.asp?taxnode_id=20170115","ICTVonline=20170115")</f>
        <v>ICTVonline=20170115</v>
      </c>
      <c r="L98" s="3">
        <v>97</v>
      </c>
    </row>
    <row r="99" spans="1:12" x14ac:dyDescent="0.15">
      <c r="A99" s="1" t="s">
        <v>4268</v>
      </c>
      <c r="B99" s="1" t="s">
        <v>4274</v>
      </c>
      <c r="D99" s="1" t="s">
        <v>1994</v>
      </c>
      <c r="E99" s="1" t="s">
        <v>3857</v>
      </c>
      <c r="F99" s="3">
        <v>0</v>
      </c>
      <c r="G99" s="8" t="s">
        <v>2772</v>
      </c>
      <c r="H99" s="8" t="s">
        <v>5161</v>
      </c>
      <c r="I99" s="3">
        <v>31</v>
      </c>
      <c r="J99" s="3" t="s">
        <v>5264</v>
      </c>
      <c r="K99" s="17" t="str">
        <f>HYPERLINK("http://ictvonline.org/taxonomyHistory.asp?taxnode_id=20170116","ICTVonline=20170116")</f>
        <v>ICTVonline=20170116</v>
      </c>
      <c r="L99" s="3">
        <v>98</v>
      </c>
    </row>
    <row r="100" spans="1:12" x14ac:dyDescent="0.15">
      <c r="A100" s="1" t="s">
        <v>4268</v>
      </c>
      <c r="B100" s="1" t="s">
        <v>4274</v>
      </c>
      <c r="D100" s="1" t="s">
        <v>1994</v>
      </c>
      <c r="E100" s="1" t="s">
        <v>3858</v>
      </c>
      <c r="F100" s="3">
        <v>0</v>
      </c>
      <c r="G100" s="8" t="s">
        <v>2772</v>
      </c>
      <c r="H100" s="8" t="s">
        <v>5161</v>
      </c>
      <c r="I100" s="3">
        <v>31</v>
      </c>
      <c r="J100" s="3" t="s">
        <v>5264</v>
      </c>
      <c r="K100" s="17" t="str">
        <f>HYPERLINK("http://ictvonline.org/taxonomyHistory.asp?taxnode_id=20170117","ICTVonline=20170117")</f>
        <v>ICTVonline=20170117</v>
      </c>
      <c r="L100" s="3">
        <v>99</v>
      </c>
    </row>
    <row r="101" spans="1:12" x14ac:dyDescent="0.15">
      <c r="A101" s="1" t="s">
        <v>4268</v>
      </c>
      <c r="B101" s="1" t="s">
        <v>4274</v>
      </c>
      <c r="D101" s="1" t="s">
        <v>1994</v>
      </c>
      <c r="E101" s="1" t="s">
        <v>3859</v>
      </c>
      <c r="F101" s="3">
        <v>0</v>
      </c>
      <c r="G101" s="8" t="s">
        <v>2772</v>
      </c>
      <c r="H101" s="8" t="s">
        <v>5161</v>
      </c>
      <c r="I101" s="3">
        <v>31</v>
      </c>
      <c r="J101" s="3" t="s">
        <v>5264</v>
      </c>
      <c r="K101" s="17" t="str">
        <f>HYPERLINK("http://ictvonline.org/taxonomyHistory.asp?taxnode_id=20170118","ICTVonline=20170118")</f>
        <v>ICTVonline=20170118</v>
      </c>
      <c r="L101" s="3">
        <v>100</v>
      </c>
    </row>
    <row r="102" spans="1:12" x14ac:dyDescent="0.15">
      <c r="A102" s="1" t="s">
        <v>4268</v>
      </c>
      <c r="B102" s="1" t="s">
        <v>4274</v>
      </c>
      <c r="D102" s="1" t="s">
        <v>1994</v>
      </c>
      <c r="E102" s="1" t="s">
        <v>3860</v>
      </c>
      <c r="F102" s="3">
        <v>0</v>
      </c>
      <c r="G102" s="8" t="s">
        <v>2772</v>
      </c>
      <c r="H102" s="8" t="s">
        <v>5161</v>
      </c>
      <c r="I102" s="3">
        <v>31</v>
      </c>
      <c r="J102" s="3" t="s">
        <v>5264</v>
      </c>
      <c r="K102" s="17" t="str">
        <f>HYPERLINK("http://ictvonline.org/taxonomyHistory.asp?taxnode_id=20170119","ICTVonline=20170119")</f>
        <v>ICTVonline=20170119</v>
      </c>
      <c r="L102" s="3">
        <v>101</v>
      </c>
    </row>
    <row r="103" spans="1:12" x14ac:dyDescent="0.15">
      <c r="A103" s="1" t="s">
        <v>4268</v>
      </c>
      <c r="B103" s="1" t="s">
        <v>4274</v>
      </c>
      <c r="D103" s="1" t="s">
        <v>1994</v>
      </c>
      <c r="E103" s="1" t="s">
        <v>3861</v>
      </c>
      <c r="F103" s="3">
        <v>0</v>
      </c>
      <c r="G103" s="8" t="s">
        <v>2772</v>
      </c>
      <c r="H103" s="8" t="s">
        <v>5161</v>
      </c>
      <c r="I103" s="3">
        <v>31</v>
      </c>
      <c r="J103" s="3" t="s">
        <v>5264</v>
      </c>
      <c r="K103" s="17" t="str">
        <f>HYPERLINK("http://ictvonline.org/taxonomyHistory.asp?taxnode_id=20170120","ICTVonline=20170120")</f>
        <v>ICTVonline=20170120</v>
      </c>
      <c r="L103" s="3">
        <v>102</v>
      </c>
    </row>
    <row r="104" spans="1:12" x14ac:dyDescent="0.15">
      <c r="A104" s="1" t="s">
        <v>4268</v>
      </c>
      <c r="B104" s="1" t="s">
        <v>4274</v>
      </c>
      <c r="D104" s="1" t="s">
        <v>1994</v>
      </c>
      <c r="E104" s="1" t="s">
        <v>3862</v>
      </c>
      <c r="F104" s="3">
        <v>0</v>
      </c>
      <c r="G104" s="8" t="s">
        <v>2772</v>
      </c>
      <c r="H104" s="8" t="s">
        <v>5161</v>
      </c>
      <c r="I104" s="3">
        <v>31</v>
      </c>
      <c r="J104" s="3" t="s">
        <v>5264</v>
      </c>
      <c r="K104" s="17" t="str">
        <f>HYPERLINK("http://ictvonline.org/taxonomyHistory.asp?taxnode_id=20170121","ICTVonline=20170121")</f>
        <v>ICTVonline=20170121</v>
      </c>
      <c r="L104" s="3">
        <v>103</v>
      </c>
    </row>
    <row r="105" spans="1:12" x14ac:dyDescent="0.15">
      <c r="A105" s="1" t="s">
        <v>4268</v>
      </c>
      <c r="B105" s="1" t="s">
        <v>4274</v>
      </c>
      <c r="D105" s="1" t="s">
        <v>1994</v>
      </c>
      <c r="E105" s="1" t="s">
        <v>3863</v>
      </c>
      <c r="F105" s="3">
        <v>0</v>
      </c>
      <c r="G105" s="8" t="s">
        <v>2772</v>
      </c>
      <c r="H105" s="8" t="s">
        <v>5161</v>
      </c>
      <c r="I105" s="3">
        <v>31</v>
      </c>
      <c r="J105" s="3" t="s">
        <v>5264</v>
      </c>
      <c r="K105" s="17" t="str">
        <f>HYPERLINK("http://ictvonline.org/taxonomyHistory.asp?taxnode_id=20170122","ICTVonline=20170122")</f>
        <v>ICTVonline=20170122</v>
      </c>
      <c r="L105" s="3">
        <v>104</v>
      </c>
    </row>
    <row r="106" spans="1:12" x14ac:dyDescent="0.15">
      <c r="A106" s="1" t="s">
        <v>4268</v>
      </c>
      <c r="B106" s="1" t="s">
        <v>4274</v>
      </c>
      <c r="D106" s="1" t="s">
        <v>1994</v>
      </c>
      <c r="E106" s="1" t="s">
        <v>3864</v>
      </c>
      <c r="F106" s="3">
        <v>0</v>
      </c>
      <c r="G106" s="8" t="s">
        <v>2772</v>
      </c>
      <c r="H106" s="8" t="s">
        <v>5161</v>
      </c>
      <c r="I106" s="3">
        <v>31</v>
      </c>
      <c r="J106" s="3" t="s">
        <v>5264</v>
      </c>
      <c r="K106" s="17" t="str">
        <f>HYPERLINK("http://ictvonline.org/taxonomyHistory.asp?taxnode_id=20170123","ICTVonline=20170123")</f>
        <v>ICTVonline=20170123</v>
      </c>
      <c r="L106" s="3">
        <v>105</v>
      </c>
    </row>
    <row r="107" spans="1:12" x14ac:dyDescent="0.15">
      <c r="A107" s="1" t="s">
        <v>4268</v>
      </c>
      <c r="B107" s="1" t="s">
        <v>4274</v>
      </c>
      <c r="D107" s="1" t="s">
        <v>1994</v>
      </c>
      <c r="E107" s="1" t="s">
        <v>3865</v>
      </c>
      <c r="F107" s="3">
        <v>0</v>
      </c>
      <c r="G107" s="8" t="s">
        <v>2772</v>
      </c>
      <c r="H107" s="8" t="s">
        <v>5161</v>
      </c>
      <c r="I107" s="3">
        <v>31</v>
      </c>
      <c r="J107" s="3" t="s">
        <v>5264</v>
      </c>
      <c r="K107" s="17" t="str">
        <f>HYPERLINK("http://ictvonline.org/taxonomyHistory.asp?taxnode_id=20170124","ICTVonline=20170124")</f>
        <v>ICTVonline=20170124</v>
      </c>
      <c r="L107" s="3">
        <v>106</v>
      </c>
    </row>
    <row r="108" spans="1:12" x14ac:dyDescent="0.15">
      <c r="A108" s="1" t="s">
        <v>4268</v>
      </c>
      <c r="B108" s="1" t="s">
        <v>4274</v>
      </c>
      <c r="D108" s="1" t="s">
        <v>1994</v>
      </c>
      <c r="E108" s="1" t="s">
        <v>3866</v>
      </c>
      <c r="F108" s="3">
        <v>0</v>
      </c>
      <c r="G108" s="8" t="s">
        <v>2772</v>
      </c>
      <c r="H108" s="8" t="s">
        <v>5161</v>
      </c>
      <c r="I108" s="3">
        <v>31</v>
      </c>
      <c r="J108" s="3" t="s">
        <v>5264</v>
      </c>
      <c r="K108" s="17" t="str">
        <f>HYPERLINK("http://ictvonline.org/taxonomyHistory.asp?taxnode_id=20170125","ICTVonline=20170125")</f>
        <v>ICTVonline=20170125</v>
      </c>
      <c r="L108" s="3">
        <v>107</v>
      </c>
    </row>
    <row r="109" spans="1:12" x14ac:dyDescent="0.15">
      <c r="A109" s="1" t="s">
        <v>4268</v>
      </c>
      <c r="B109" s="1" t="s">
        <v>4274</v>
      </c>
      <c r="D109" s="1" t="s">
        <v>1994</v>
      </c>
      <c r="E109" s="1" t="s">
        <v>3867</v>
      </c>
      <c r="F109" s="3">
        <v>0</v>
      </c>
      <c r="G109" s="8" t="s">
        <v>2772</v>
      </c>
      <c r="H109" s="8" t="s">
        <v>5161</v>
      </c>
      <c r="I109" s="3">
        <v>31</v>
      </c>
      <c r="J109" s="3" t="s">
        <v>5264</v>
      </c>
      <c r="K109" s="17" t="str">
        <f>HYPERLINK("http://ictvonline.org/taxonomyHistory.asp?taxnode_id=20170126","ICTVonline=20170126")</f>
        <v>ICTVonline=20170126</v>
      </c>
      <c r="L109" s="3">
        <v>108</v>
      </c>
    </row>
    <row r="110" spans="1:12" x14ac:dyDescent="0.15">
      <c r="A110" s="1" t="s">
        <v>4268</v>
      </c>
      <c r="B110" s="1" t="s">
        <v>4274</v>
      </c>
      <c r="D110" s="1" t="s">
        <v>1994</v>
      </c>
      <c r="E110" s="1" t="s">
        <v>3868</v>
      </c>
      <c r="F110" s="3">
        <v>0</v>
      </c>
      <c r="G110" s="8" t="s">
        <v>2772</v>
      </c>
      <c r="H110" s="8" t="s">
        <v>5161</v>
      </c>
      <c r="I110" s="3">
        <v>31</v>
      </c>
      <c r="J110" s="3" t="s">
        <v>5264</v>
      </c>
      <c r="K110" s="17" t="str">
        <f>HYPERLINK("http://ictvonline.org/taxonomyHistory.asp?taxnode_id=20170127","ICTVonline=20170127")</f>
        <v>ICTVonline=20170127</v>
      </c>
      <c r="L110" s="3">
        <v>109</v>
      </c>
    </row>
    <row r="111" spans="1:12" x14ac:dyDescent="0.15">
      <c r="A111" s="1" t="s">
        <v>4268</v>
      </c>
      <c r="B111" s="1" t="s">
        <v>4274</v>
      </c>
      <c r="D111" s="1" t="s">
        <v>1994</v>
      </c>
      <c r="E111" s="1" t="s">
        <v>3869</v>
      </c>
      <c r="F111" s="3">
        <v>0</v>
      </c>
      <c r="G111" s="8" t="s">
        <v>2772</v>
      </c>
      <c r="H111" s="8" t="s">
        <v>5161</v>
      </c>
      <c r="I111" s="3">
        <v>31</v>
      </c>
      <c r="J111" s="3" t="s">
        <v>5264</v>
      </c>
      <c r="K111" s="17" t="str">
        <f>HYPERLINK("http://ictvonline.org/taxonomyHistory.asp?taxnode_id=20170128","ICTVonline=20170128")</f>
        <v>ICTVonline=20170128</v>
      </c>
      <c r="L111" s="3">
        <v>110</v>
      </c>
    </row>
    <row r="112" spans="1:12" x14ac:dyDescent="0.15">
      <c r="A112" s="1" t="s">
        <v>4268</v>
      </c>
      <c r="B112" s="1" t="s">
        <v>4274</v>
      </c>
      <c r="D112" s="1" t="s">
        <v>1994</v>
      </c>
      <c r="E112" s="1" t="s">
        <v>3870</v>
      </c>
      <c r="F112" s="3">
        <v>0</v>
      </c>
      <c r="G112" s="8" t="s">
        <v>2772</v>
      </c>
      <c r="H112" s="8" t="s">
        <v>5161</v>
      </c>
      <c r="I112" s="3">
        <v>31</v>
      </c>
      <c r="J112" s="3" t="s">
        <v>5264</v>
      </c>
      <c r="K112" s="17" t="str">
        <f>HYPERLINK("http://ictvonline.org/taxonomyHistory.asp?taxnode_id=20170129","ICTVonline=20170129")</f>
        <v>ICTVonline=20170129</v>
      </c>
      <c r="L112" s="3">
        <v>111</v>
      </c>
    </row>
    <row r="113" spans="1:12" x14ac:dyDescent="0.15">
      <c r="A113" s="1" t="s">
        <v>4268</v>
      </c>
      <c r="B113" s="1" t="s">
        <v>4274</v>
      </c>
      <c r="D113" s="1" t="s">
        <v>1994</v>
      </c>
      <c r="E113" s="1" t="s">
        <v>3871</v>
      </c>
      <c r="F113" s="3">
        <v>0</v>
      </c>
      <c r="G113" s="8" t="s">
        <v>2772</v>
      </c>
      <c r="H113" s="8" t="s">
        <v>5161</v>
      </c>
      <c r="I113" s="3">
        <v>31</v>
      </c>
      <c r="J113" s="3" t="s">
        <v>5264</v>
      </c>
      <c r="K113" s="17" t="str">
        <f>HYPERLINK("http://ictvonline.org/taxonomyHistory.asp?taxnode_id=20170130","ICTVonline=20170130")</f>
        <v>ICTVonline=20170130</v>
      </c>
      <c r="L113" s="3">
        <v>112</v>
      </c>
    </row>
    <row r="114" spans="1:12" x14ac:dyDescent="0.15">
      <c r="A114" s="1" t="s">
        <v>4268</v>
      </c>
      <c r="B114" s="1" t="s">
        <v>4274</v>
      </c>
      <c r="D114" s="1" t="s">
        <v>1994</v>
      </c>
      <c r="E114" s="1" t="s">
        <v>3872</v>
      </c>
      <c r="F114" s="3">
        <v>0</v>
      </c>
      <c r="G114" s="8" t="s">
        <v>2772</v>
      </c>
      <c r="H114" s="8" t="s">
        <v>5161</v>
      </c>
      <c r="I114" s="3">
        <v>31</v>
      </c>
      <c r="J114" s="3" t="s">
        <v>5264</v>
      </c>
      <c r="K114" s="17" t="str">
        <f>HYPERLINK("http://ictvonline.org/taxonomyHistory.asp?taxnode_id=20170131","ICTVonline=20170131")</f>
        <v>ICTVonline=20170131</v>
      </c>
      <c r="L114" s="3">
        <v>113</v>
      </c>
    </row>
    <row r="115" spans="1:12" x14ac:dyDescent="0.15">
      <c r="A115" s="1" t="s">
        <v>4268</v>
      </c>
      <c r="B115" s="1" t="s">
        <v>4274</v>
      </c>
      <c r="D115" s="1" t="s">
        <v>1994</v>
      </c>
      <c r="E115" s="1" t="s">
        <v>3873</v>
      </c>
      <c r="F115" s="3">
        <v>0</v>
      </c>
      <c r="G115" s="8" t="s">
        <v>2772</v>
      </c>
      <c r="H115" s="8" t="s">
        <v>5161</v>
      </c>
      <c r="I115" s="3">
        <v>31</v>
      </c>
      <c r="J115" s="3" t="s">
        <v>5264</v>
      </c>
      <c r="K115" s="17" t="str">
        <f>HYPERLINK("http://ictvonline.org/taxonomyHistory.asp?taxnode_id=20170132","ICTVonline=20170132")</f>
        <v>ICTVonline=20170132</v>
      </c>
      <c r="L115" s="3">
        <v>114</v>
      </c>
    </row>
    <row r="116" spans="1:12" x14ac:dyDescent="0.15">
      <c r="A116" s="1" t="s">
        <v>4268</v>
      </c>
      <c r="B116" s="1" t="s">
        <v>4274</v>
      </c>
      <c r="D116" s="1" t="s">
        <v>1994</v>
      </c>
      <c r="E116" s="1" t="s">
        <v>3874</v>
      </c>
      <c r="F116" s="3">
        <v>0</v>
      </c>
      <c r="G116" s="8" t="s">
        <v>2772</v>
      </c>
      <c r="H116" s="8" t="s">
        <v>5161</v>
      </c>
      <c r="I116" s="3">
        <v>31</v>
      </c>
      <c r="J116" s="3" t="s">
        <v>5264</v>
      </c>
      <c r="K116" s="17" t="str">
        <f>HYPERLINK("http://ictvonline.org/taxonomyHistory.asp?taxnode_id=20170133","ICTVonline=20170133")</f>
        <v>ICTVonline=20170133</v>
      </c>
      <c r="L116" s="3">
        <v>115</v>
      </c>
    </row>
    <row r="117" spans="1:12" x14ac:dyDescent="0.15">
      <c r="A117" s="1" t="s">
        <v>4268</v>
      </c>
      <c r="B117" s="1" t="s">
        <v>4274</v>
      </c>
      <c r="D117" s="1" t="s">
        <v>1994</v>
      </c>
      <c r="E117" s="4" t="s">
        <v>3875</v>
      </c>
      <c r="F117" s="3">
        <v>0</v>
      </c>
      <c r="G117" s="9" t="s">
        <v>2772</v>
      </c>
      <c r="H117" s="9" t="s">
        <v>5161</v>
      </c>
      <c r="I117" s="3">
        <v>31</v>
      </c>
      <c r="J117" s="3" t="s">
        <v>5264</v>
      </c>
      <c r="K117" s="17" t="str">
        <f>HYPERLINK("http://ictvonline.org/taxonomyHistory.asp?taxnode_id=20170134","ICTVonline=20170134")</f>
        <v>ICTVonline=20170134</v>
      </c>
      <c r="L117" s="3">
        <v>116</v>
      </c>
    </row>
    <row r="118" spans="1:12" x14ac:dyDescent="0.15">
      <c r="A118" s="1" t="s">
        <v>4268</v>
      </c>
      <c r="B118" s="1" t="s">
        <v>4274</v>
      </c>
      <c r="D118" s="1" t="s">
        <v>1994</v>
      </c>
      <c r="E118" s="1" t="s">
        <v>5276</v>
      </c>
      <c r="F118" s="3">
        <v>0</v>
      </c>
      <c r="G118" s="8" t="s">
        <v>2772</v>
      </c>
      <c r="H118" s="8" t="s">
        <v>5159</v>
      </c>
      <c r="I118" s="3">
        <v>32</v>
      </c>
      <c r="J118" s="3" t="s">
        <v>5277</v>
      </c>
      <c r="K118" s="17" t="str">
        <f>HYPERLINK("http://ictvonline.org/taxonomyHistory.asp?taxnode_id=20175464","ICTVonline=20175464")</f>
        <v>ICTVonline=20175464</v>
      </c>
      <c r="L118" s="3">
        <v>117</v>
      </c>
    </row>
    <row r="119" spans="1:12" x14ac:dyDescent="0.15">
      <c r="A119" s="1" t="s">
        <v>4268</v>
      </c>
      <c r="B119" s="1" t="s">
        <v>4274</v>
      </c>
      <c r="D119" s="1" t="s">
        <v>1994</v>
      </c>
      <c r="E119" s="1" t="s">
        <v>3876</v>
      </c>
      <c r="F119" s="3">
        <v>0</v>
      </c>
      <c r="G119" s="8" t="s">
        <v>2772</v>
      </c>
      <c r="H119" s="8" t="s">
        <v>5161</v>
      </c>
      <c r="I119" s="3">
        <v>31</v>
      </c>
      <c r="J119" s="3" t="s">
        <v>5264</v>
      </c>
      <c r="K119" s="17" t="str">
        <f>HYPERLINK("http://ictvonline.org/taxonomyHistory.asp?taxnode_id=20170135","ICTVonline=20170135")</f>
        <v>ICTVonline=20170135</v>
      </c>
      <c r="L119" s="3">
        <v>118</v>
      </c>
    </row>
    <row r="120" spans="1:12" x14ac:dyDescent="0.15">
      <c r="A120" s="1" t="s">
        <v>4268</v>
      </c>
      <c r="B120" s="1" t="s">
        <v>4274</v>
      </c>
      <c r="D120" s="1" t="s">
        <v>1994</v>
      </c>
      <c r="E120" s="1" t="s">
        <v>3877</v>
      </c>
      <c r="F120" s="3">
        <v>0</v>
      </c>
      <c r="G120" s="8" t="s">
        <v>2772</v>
      </c>
      <c r="H120" s="8" t="s">
        <v>5161</v>
      </c>
      <c r="I120" s="3">
        <v>31</v>
      </c>
      <c r="J120" s="3" t="s">
        <v>5264</v>
      </c>
      <c r="K120" s="17" t="str">
        <f>HYPERLINK("http://ictvonline.org/taxonomyHistory.asp?taxnode_id=20170136","ICTVonline=20170136")</f>
        <v>ICTVonline=20170136</v>
      </c>
      <c r="L120" s="3">
        <v>119</v>
      </c>
    </row>
    <row r="121" spans="1:12" x14ac:dyDescent="0.15">
      <c r="A121" s="1" t="s">
        <v>4268</v>
      </c>
      <c r="B121" s="1" t="s">
        <v>4350</v>
      </c>
      <c r="D121" s="1" t="s">
        <v>4351</v>
      </c>
      <c r="E121" s="1" t="s">
        <v>4352</v>
      </c>
      <c r="F121" s="3">
        <v>1</v>
      </c>
      <c r="G121" s="8" t="s">
        <v>2772</v>
      </c>
      <c r="H121" s="8" t="s">
        <v>5159</v>
      </c>
      <c r="I121" s="3">
        <v>31</v>
      </c>
      <c r="J121" s="3" t="s">
        <v>5278</v>
      </c>
      <c r="K121" s="17" t="str">
        <f>HYPERLINK("http://ictvonline.org/taxonomyHistory.asp?taxnode_id=20170140","ICTVonline=20170140")</f>
        <v>ICTVonline=20170140</v>
      </c>
      <c r="L121" s="3">
        <v>120</v>
      </c>
    </row>
    <row r="122" spans="1:12" x14ac:dyDescent="0.15">
      <c r="A122" s="1" t="s">
        <v>4268</v>
      </c>
      <c r="B122" s="1" t="s">
        <v>4350</v>
      </c>
      <c r="D122" s="1" t="s">
        <v>4351</v>
      </c>
      <c r="E122" s="1" t="s">
        <v>4353</v>
      </c>
      <c r="F122" s="3">
        <v>0</v>
      </c>
      <c r="G122" s="8" t="s">
        <v>2772</v>
      </c>
      <c r="H122" s="8" t="s">
        <v>5159</v>
      </c>
      <c r="I122" s="3">
        <v>31</v>
      </c>
      <c r="J122" s="3" t="s">
        <v>5278</v>
      </c>
      <c r="K122" s="17" t="str">
        <f>HYPERLINK("http://ictvonline.org/taxonomyHistory.asp?taxnode_id=20170141","ICTVonline=20170141")</f>
        <v>ICTVonline=20170141</v>
      </c>
      <c r="L122" s="3">
        <v>121</v>
      </c>
    </row>
    <row r="123" spans="1:12" x14ac:dyDescent="0.15">
      <c r="A123" s="1" t="s">
        <v>4268</v>
      </c>
      <c r="B123" s="1" t="s">
        <v>4350</v>
      </c>
      <c r="D123" s="1" t="s">
        <v>4351</v>
      </c>
      <c r="E123" s="1" t="s">
        <v>4354</v>
      </c>
      <c r="F123" s="3">
        <v>0</v>
      </c>
      <c r="G123" s="8" t="s">
        <v>2772</v>
      </c>
      <c r="H123" s="8" t="s">
        <v>5159</v>
      </c>
      <c r="I123" s="3">
        <v>31</v>
      </c>
      <c r="J123" s="3" t="s">
        <v>5278</v>
      </c>
      <c r="K123" s="17" t="str">
        <f>HYPERLINK("http://ictvonline.org/taxonomyHistory.asp?taxnode_id=20170142","ICTVonline=20170142")</f>
        <v>ICTVonline=20170142</v>
      </c>
      <c r="L123" s="3">
        <v>122</v>
      </c>
    </row>
    <row r="124" spans="1:12" x14ac:dyDescent="0.15">
      <c r="A124" s="1" t="s">
        <v>4268</v>
      </c>
      <c r="B124" s="1" t="s">
        <v>4350</v>
      </c>
      <c r="D124" s="1" t="s">
        <v>4351</v>
      </c>
      <c r="E124" s="1" t="s">
        <v>4355</v>
      </c>
      <c r="F124" s="3">
        <v>0</v>
      </c>
      <c r="G124" s="8" t="s">
        <v>2772</v>
      </c>
      <c r="H124" s="8" t="s">
        <v>5159</v>
      </c>
      <c r="I124" s="3">
        <v>31</v>
      </c>
      <c r="J124" s="3" t="s">
        <v>5278</v>
      </c>
      <c r="K124" s="17" t="str">
        <f>HYPERLINK("http://ictvonline.org/taxonomyHistory.asp?taxnode_id=20170143","ICTVonline=20170143")</f>
        <v>ICTVonline=20170143</v>
      </c>
      <c r="L124" s="3">
        <v>123</v>
      </c>
    </row>
    <row r="125" spans="1:12" x14ac:dyDescent="0.15">
      <c r="A125" s="1" t="s">
        <v>4268</v>
      </c>
      <c r="B125" s="1" t="s">
        <v>4350</v>
      </c>
      <c r="D125" s="1" t="s">
        <v>4351</v>
      </c>
      <c r="E125" s="1" t="s">
        <v>4356</v>
      </c>
      <c r="F125" s="3">
        <v>0</v>
      </c>
      <c r="G125" s="8" t="s">
        <v>2772</v>
      </c>
      <c r="H125" s="8" t="s">
        <v>5159</v>
      </c>
      <c r="I125" s="3">
        <v>31</v>
      </c>
      <c r="J125" s="3" t="s">
        <v>5278</v>
      </c>
      <c r="K125" s="17" t="str">
        <f>HYPERLINK("http://ictvonline.org/taxonomyHistory.asp?taxnode_id=20170144","ICTVonline=20170144")</f>
        <v>ICTVonline=20170144</v>
      </c>
      <c r="L125" s="3">
        <v>124</v>
      </c>
    </row>
    <row r="126" spans="1:12" x14ac:dyDescent="0.15">
      <c r="A126" s="1" t="s">
        <v>4268</v>
      </c>
      <c r="B126" s="1" t="s">
        <v>4350</v>
      </c>
      <c r="D126" s="1" t="s">
        <v>4351</v>
      </c>
      <c r="E126" s="1" t="s">
        <v>4357</v>
      </c>
      <c r="F126" s="3">
        <v>0</v>
      </c>
      <c r="G126" s="8" t="s">
        <v>2772</v>
      </c>
      <c r="H126" s="8" t="s">
        <v>5159</v>
      </c>
      <c r="I126" s="3">
        <v>31</v>
      </c>
      <c r="J126" s="3" t="s">
        <v>5278</v>
      </c>
      <c r="K126" s="17" t="str">
        <f>HYPERLINK("http://ictvonline.org/taxonomyHistory.asp?taxnode_id=20170145","ICTVonline=20170145")</f>
        <v>ICTVonline=20170145</v>
      </c>
      <c r="L126" s="3">
        <v>125</v>
      </c>
    </row>
    <row r="127" spans="1:12" x14ac:dyDescent="0.15">
      <c r="A127" s="1" t="s">
        <v>4268</v>
      </c>
      <c r="B127" s="1" t="s">
        <v>4275</v>
      </c>
      <c r="D127" s="1" t="s">
        <v>4358</v>
      </c>
      <c r="E127" s="1" t="s">
        <v>4359</v>
      </c>
      <c r="F127" s="3">
        <v>0</v>
      </c>
      <c r="G127" s="8" t="s">
        <v>2772</v>
      </c>
      <c r="H127" s="8" t="s">
        <v>5159</v>
      </c>
      <c r="I127" s="3">
        <v>31</v>
      </c>
      <c r="J127" s="3" t="s">
        <v>5279</v>
      </c>
      <c r="K127" s="17" t="str">
        <f>HYPERLINK("http://ictvonline.org/taxonomyHistory.asp?taxnode_id=20170149","ICTVonline=20170149")</f>
        <v>ICTVonline=20170149</v>
      </c>
      <c r="L127" s="3">
        <v>126</v>
      </c>
    </row>
    <row r="128" spans="1:12" x14ac:dyDescent="0.15">
      <c r="A128" s="1" t="s">
        <v>4268</v>
      </c>
      <c r="B128" s="1" t="s">
        <v>4275</v>
      </c>
      <c r="D128" s="1" t="s">
        <v>4358</v>
      </c>
      <c r="E128" s="1" t="s">
        <v>4360</v>
      </c>
      <c r="F128" s="3">
        <v>1</v>
      </c>
      <c r="G128" s="8" t="s">
        <v>2772</v>
      </c>
      <c r="H128" s="8" t="s">
        <v>5159</v>
      </c>
      <c r="I128" s="3">
        <v>31</v>
      </c>
      <c r="J128" s="3" t="s">
        <v>5279</v>
      </c>
      <c r="K128" s="17" t="str">
        <f>HYPERLINK("http://ictvonline.org/taxonomyHistory.asp?taxnode_id=20170150","ICTVonline=20170150")</f>
        <v>ICTVonline=20170150</v>
      </c>
      <c r="L128" s="3">
        <v>127</v>
      </c>
    </row>
    <row r="129" spans="1:12" x14ac:dyDescent="0.15">
      <c r="A129" s="1" t="s">
        <v>4268</v>
      </c>
      <c r="B129" s="1" t="s">
        <v>4275</v>
      </c>
      <c r="D129" s="1" t="s">
        <v>4358</v>
      </c>
      <c r="E129" s="1" t="s">
        <v>4361</v>
      </c>
      <c r="F129" s="3">
        <v>0</v>
      </c>
      <c r="G129" s="8" t="s">
        <v>2772</v>
      </c>
      <c r="H129" s="8" t="s">
        <v>5159</v>
      </c>
      <c r="I129" s="3">
        <v>31</v>
      </c>
      <c r="J129" s="3" t="s">
        <v>5279</v>
      </c>
      <c r="K129" s="17" t="str">
        <f>HYPERLINK("http://ictvonline.org/taxonomyHistory.asp?taxnode_id=20170151","ICTVonline=20170151")</f>
        <v>ICTVonline=20170151</v>
      </c>
      <c r="L129" s="3">
        <v>128</v>
      </c>
    </row>
    <row r="130" spans="1:12" x14ac:dyDescent="0.15">
      <c r="A130" s="1" t="s">
        <v>4268</v>
      </c>
      <c r="B130" s="1" t="s">
        <v>4275</v>
      </c>
      <c r="D130" s="1" t="s">
        <v>4362</v>
      </c>
      <c r="E130" s="1" t="s">
        <v>4363</v>
      </c>
      <c r="F130" s="3">
        <v>1</v>
      </c>
      <c r="G130" s="8" t="s">
        <v>2772</v>
      </c>
      <c r="H130" s="8" t="s">
        <v>5159</v>
      </c>
      <c r="I130" s="3">
        <v>31</v>
      </c>
      <c r="J130" s="3" t="s">
        <v>5280</v>
      </c>
      <c r="K130" s="17" t="str">
        <f>HYPERLINK("http://ictvonline.org/taxonomyHistory.asp?taxnode_id=20170153","ICTVonline=20170153")</f>
        <v>ICTVonline=20170153</v>
      </c>
      <c r="L130" s="3">
        <v>129</v>
      </c>
    </row>
    <row r="131" spans="1:12" x14ac:dyDescent="0.15">
      <c r="A131" s="1" t="s">
        <v>4268</v>
      </c>
      <c r="B131" s="1" t="s">
        <v>4275</v>
      </c>
      <c r="D131" s="1" t="s">
        <v>4362</v>
      </c>
      <c r="E131" s="1" t="s">
        <v>4364</v>
      </c>
      <c r="F131" s="3">
        <v>0</v>
      </c>
      <c r="G131" s="8" t="s">
        <v>2772</v>
      </c>
      <c r="H131" s="8" t="s">
        <v>5159</v>
      </c>
      <c r="I131" s="3">
        <v>31</v>
      </c>
      <c r="J131" s="3" t="s">
        <v>5280</v>
      </c>
      <c r="K131" s="17" t="str">
        <f>HYPERLINK("http://ictvonline.org/taxonomyHistory.asp?taxnode_id=20170154","ICTVonline=20170154")</f>
        <v>ICTVonline=20170154</v>
      </c>
      <c r="L131" s="3">
        <v>130</v>
      </c>
    </row>
    <row r="132" spans="1:12" x14ac:dyDescent="0.15">
      <c r="A132" s="1" t="s">
        <v>4268</v>
      </c>
      <c r="B132" s="1" t="s">
        <v>4275</v>
      </c>
      <c r="D132" s="1" t="s">
        <v>4362</v>
      </c>
      <c r="E132" s="1" t="s">
        <v>4365</v>
      </c>
      <c r="F132" s="3">
        <v>0</v>
      </c>
      <c r="G132" s="8" t="s">
        <v>2772</v>
      </c>
      <c r="H132" s="8" t="s">
        <v>5159</v>
      </c>
      <c r="I132" s="3">
        <v>31</v>
      </c>
      <c r="J132" s="3" t="s">
        <v>5280</v>
      </c>
      <c r="K132" s="17" t="str">
        <f>HYPERLINK("http://ictvonline.org/taxonomyHistory.asp?taxnode_id=20170155","ICTVonline=20170155")</f>
        <v>ICTVonline=20170155</v>
      </c>
      <c r="L132" s="3">
        <v>131</v>
      </c>
    </row>
    <row r="133" spans="1:12" x14ac:dyDescent="0.15">
      <c r="A133" s="1" t="s">
        <v>4268</v>
      </c>
      <c r="B133" s="1" t="s">
        <v>4275</v>
      </c>
      <c r="D133" s="1" t="s">
        <v>4362</v>
      </c>
      <c r="E133" s="1" t="s">
        <v>4366</v>
      </c>
      <c r="F133" s="3">
        <v>0</v>
      </c>
      <c r="G133" s="8" t="s">
        <v>2772</v>
      </c>
      <c r="H133" s="8" t="s">
        <v>5159</v>
      </c>
      <c r="I133" s="3">
        <v>31</v>
      </c>
      <c r="J133" s="3" t="s">
        <v>5280</v>
      </c>
      <c r="K133" s="17" t="str">
        <f>HYPERLINK("http://ictvonline.org/taxonomyHistory.asp?taxnode_id=20170156","ICTVonline=20170156")</f>
        <v>ICTVonline=20170156</v>
      </c>
      <c r="L133" s="3">
        <v>132</v>
      </c>
    </row>
    <row r="134" spans="1:12" x14ac:dyDescent="0.15">
      <c r="A134" s="1" t="s">
        <v>4268</v>
      </c>
      <c r="B134" s="1" t="s">
        <v>4275</v>
      </c>
      <c r="D134" s="1" t="s">
        <v>703</v>
      </c>
      <c r="E134" s="1" t="s">
        <v>3878</v>
      </c>
      <c r="F134" s="3">
        <v>0</v>
      </c>
      <c r="G134" s="8" t="s">
        <v>3817</v>
      </c>
      <c r="H134" s="8" t="s">
        <v>5161</v>
      </c>
      <c r="I134" s="3">
        <v>31</v>
      </c>
      <c r="J134" s="3" t="s">
        <v>5264</v>
      </c>
      <c r="K134" s="17" t="str">
        <f>HYPERLINK("http://ictvonline.org/taxonomyHistory.asp?taxnode_id=20170158","ICTVonline=20170158")</f>
        <v>ICTVonline=20170158</v>
      </c>
      <c r="L134" s="3">
        <v>133</v>
      </c>
    </row>
    <row r="135" spans="1:12" x14ac:dyDescent="0.15">
      <c r="A135" s="1" t="s">
        <v>4268</v>
      </c>
      <c r="B135" s="1" t="s">
        <v>4275</v>
      </c>
      <c r="D135" s="1" t="s">
        <v>703</v>
      </c>
      <c r="E135" s="1" t="s">
        <v>3879</v>
      </c>
      <c r="F135" s="3">
        <v>0</v>
      </c>
      <c r="G135" s="8" t="s">
        <v>3817</v>
      </c>
      <c r="H135" s="8" t="s">
        <v>5161</v>
      </c>
      <c r="I135" s="3">
        <v>31</v>
      </c>
      <c r="J135" s="3" t="s">
        <v>5264</v>
      </c>
      <c r="K135" s="17" t="str">
        <f>HYPERLINK("http://ictvonline.org/taxonomyHistory.asp?taxnode_id=20170159","ICTVonline=20170159")</f>
        <v>ICTVonline=20170159</v>
      </c>
      <c r="L135" s="3">
        <v>134</v>
      </c>
    </row>
    <row r="136" spans="1:12" x14ac:dyDescent="0.15">
      <c r="A136" s="1" t="s">
        <v>4268</v>
      </c>
      <c r="B136" s="1" t="s">
        <v>4275</v>
      </c>
      <c r="D136" s="1" t="s">
        <v>703</v>
      </c>
      <c r="E136" s="1" t="s">
        <v>3880</v>
      </c>
      <c r="F136" s="3">
        <v>0</v>
      </c>
      <c r="G136" s="8" t="s">
        <v>3817</v>
      </c>
      <c r="H136" s="8" t="s">
        <v>5161</v>
      </c>
      <c r="I136" s="3">
        <v>31</v>
      </c>
      <c r="J136" s="3" t="s">
        <v>5264</v>
      </c>
      <c r="K136" s="17" t="str">
        <f>HYPERLINK("http://ictvonline.org/taxonomyHistory.asp?taxnode_id=20170160","ICTVonline=20170160")</f>
        <v>ICTVonline=20170160</v>
      </c>
      <c r="L136" s="3">
        <v>135</v>
      </c>
    </row>
    <row r="137" spans="1:12" x14ac:dyDescent="0.15">
      <c r="A137" s="1" t="s">
        <v>4268</v>
      </c>
      <c r="B137" s="1" t="s">
        <v>4275</v>
      </c>
      <c r="D137" s="1" t="s">
        <v>703</v>
      </c>
      <c r="E137" s="1" t="s">
        <v>3881</v>
      </c>
      <c r="F137" s="3">
        <v>0</v>
      </c>
      <c r="G137" s="8" t="s">
        <v>3817</v>
      </c>
      <c r="H137" s="8" t="s">
        <v>5161</v>
      </c>
      <c r="I137" s="3">
        <v>31</v>
      </c>
      <c r="J137" s="3" t="s">
        <v>5264</v>
      </c>
      <c r="K137" s="17" t="str">
        <f>HYPERLINK("http://ictvonline.org/taxonomyHistory.asp?taxnode_id=20170161","ICTVonline=20170161")</f>
        <v>ICTVonline=20170161</v>
      </c>
      <c r="L137" s="3">
        <v>136</v>
      </c>
    </row>
    <row r="138" spans="1:12" x14ac:dyDescent="0.15">
      <c r="A138" s="1" t="s">
        <v>4268</v>
      </c>
      <c r="B138" s="1" t="s">
        <v>4275</v>
      </c>
      <c r="D138" s="1" t="s">
        <v>703</v>
      </c>
      <c r="E138" s="1" t="s">
        <v>3882</v>
      </c>
      <c r="F138" s="3">
        <v>0</v>
      </c>
      <c r="G138" s="8" t="s">
        <v>3817</v>
      </c>
      <c r="H138" s="8" t="s">
        <v>5161</v>
      </c>
      <c r="I138" s="3">
        <v>31</v>
      </c>
      <c r="J138" s="3" t="s">
        <v>5264</v>
      </c>
      <c r="K138" s="17" t="str">
        <f>HYPERLINK("http://ictvonline.org/taxonomyHistory.asp?taxnode_id=20170162","ICTVonline=20170162")</f>
        <v>ICTVonline=20170162</v>
      </c>
      <c r="L138" s="3">
        <v>137</v>
      </c>
    </row>
    <row r="139" spans="1:12" x14ac:dyDescent="0.15">
      <c r="A139" s="1" t="s">
        <v>4268</v>
      </c>
      <c r="B139" s="1" t="s">
        <v>4275</v>
      </c>
      <c r="D139" s="1" t="s">
        <v>703</v>
      </c>
      <c r="E139" s="1" t="s">
        <v>3883</v>
      </c>
      <c r="F139" s="3">
        <v>1</v>
      </c>
      <c r="G139" s="8" t="s">
        <v>3817</v>
      </c>
      <c r="H139" s="8" t="s">
        <v>5161</v>
      </c>
      <c r="I139" s="3">
        <v>31</v>
      </c>
      <c r="J139" s="3" t="s">
        <v>5264</v>
      </c>
      <c r="K139" s="17" t="str">
        <f>HYPERLINK("http://ictvonline.org/taxonomyHistory.asp?taxnode_id=20170163","ICTVonline=20170163")</f>
        <v>ICTVonline=20170163</v>
      </c>
      <c r="L139" s="3">
        <v>138</v>
      </c>
    </row>
    <row r="140" spans="1:12" x14ac:dyDescent="0.15">
      <c r="A140" s="1" t="s">
        <v>4268</v>
      </c>
      <c r="B140" s="1" t="s">
        <v>4275</v>
      </c>
      <c r="D140" s="1" t="s">
        <v>703</v>
      </c>
      <c r="E140" s="1" t="s">
        <v>3884</v>
      </c>
      <c r="F140" s="3">
        <v>0</v>
      </c>
      <c r="G140" s="8" t="s">
        <v>3817</v>
      </c>
      <c r="H140" s="8" t="s">
        <v>5161</v>
      </c>
      <c r="I140" s="3">
        <v>31</v>
      </c>
      <c r="J140" s="3" t="s">
        <v>5264</v>
      </c>
      <c r="K140" s="17" t="str">
        <f>HYPERLINK("http://ictvonline.org/taxonomyHistory.asp?taxnode_id=20170164","ICTVonline=20170164")</f>
        <v>ICTVonline=20170164</v>
      </c>
      <c r="L140" s="3">
        <v>139</v>
      </c>
    </row>
    <row r="141" spans="1:12" x14ac:dyDescent="0.15">
      <c r="A141" s="1" t="s">
        <v>4268</v>
      </c>
      <c r="B141" s="1" t="s">
        <v>4275</v>
      </c>
      <c r="D141" s="1" t="s">
        <v>703</v>
      </c>
      <c r="E141" s="1" t="s">
        <v>3885</v>
      </c>
      <c r="F141" s="3">
        <v>0</v>
      </c>
      <c r="G141" s="8" t="s">
        <v>3817</v>
      </c>
      <c r="H141" s="8" t="s">
        <v>5161</v>
      </c>
      <c r="I141" s="3">
        <v>31</v>
      </c>
      <c r="J141" s="3" t="s">
        <v>5264</v>
      </c>
      <c r="K141" s="17" t="str">
        <f>HYPERLINK("http://ictvonline.org/taxonomyHistory.asp?taxnode_id=20170165","ICTVonline=20170165")</f>
        <v>ICTVonline=20170165</v>
      </c>
      <c r="L141" s="3">
        <v>140</v>
      </c>
    </row>
    <row r="142" spans="1:12" x14ac:dyDescent="0.15">
      <c r="A142" s="1" t="s">
        <v>4268</v>
      </c>
      <c r="B142" s="1" t="s">
        <v>4275</v>
      </c>
      <c r="D142" s="1" t="s">
        <v>703</v>
      </c>
      <c r="E142" s="1" t="s">
        <v>3886</v>
      </c>
      <c r="F142" s="3">
        <v>0</v>
      </c>
      <c r="G142" s="8" t="s">
        <v>3817</v>
      </c>
      <c r="H142" s="8" t="s">
        <v>5161</v>
      </c>
      <c r="I142" s="3">
        <v>31</v>
      </c>
      <c r="J142" s="3" t="s">
        <v>5264</v>
      </c>
      <c r="K142" s="17" t="str">
        <f>HYPERLINK("http://ictvonline.org/taxonomyHistory.asp?taxnode_id=20170166","ICTVonline=20170166")</f>
        <v>ICTVonline=20170166</v>
      </c>
      <c r="L142" s="3">
        <v>141</v>
      </c>
    </row>
    <row r="143" spans="1:12" x14ac:dyDescent="0.15">
      <c r="A143" s="1" t="s">
        <v>4268</v>
      </c>
      <c r="B143" s="1" t="s">
        <v>4275</v>
      </c>
      <c r="D143" s="1" t="s">
        <v>703</v>
      </c>
      <c r="E143" s="1" t="s">
        <v>3887</v>
      </c>
      <c r="F143" s="3">
        <v>0</v>
      </c>
      <c r="G143" s="8" t="s">
        <v>3817</v>
      </c>
      <c r="H143" s="8" t="s">
        <v>5161</v>
      </c>
      <c r="I143" s="3">
        <v>31</v>
      </c>
      <c r="J143" s="3" t="s">
        <v>5264</v>
      </c>
      <c r="K143" s="17" t="str">
        <f>HYPERLINK("http://ictvonline.org/taxonomyHistory.asp?taxnode_id=20170167","ICTVonline=20170167")</f>
        <v>ICTVonline=20170167</v>
      </c>
      <c r="L143" s="3">
        <v>142</v>
      </c>
    </row>
    <row r="144" spans="1:12" x14ac:dyDescent="0.15">
      <c r="A144" s="1" t="s">
        <v>4268</v>
      </c>
      <c r="B144" s="1" t="s">
        <v>4275</v>
      </c>
      <c r="D144" s="1" t="s">
        <v>1093</v>
      </c>
      <c r="E144" s="1" t="s">
        <v>4237</v>
      </c>
      <c r="F144" s="3">
        <v>0</v>
      </c>
      <c r="G144" s="8" t="s">
        <v>2772</v>
      </c>
      <c r="H144" s="8" t="s">
        <v>5160</v>
      </c>
      <c r="I144" s="3">
        <v>31</v>
      </c>
      <c r="J144" s="3" t="s">
        <v>5264</v>
      </c>
      <c r="K144" s="17" t="str">
        <f>HYPERLINK("http://ictvonline.org/taxonomyHistory.asp?taxnode_id=20170169","ICTVonline=20170169")</f>
        <v>ICTVonline=20170169</v>
      </c>
      <c r="L144" s="3">
        <v>143</v>
      </c>
    </row>
    <row r="145" spans="1:12" x14ac:dyDescent="0.15">
      <c r="A145" s="1" t="s">
        <v>4268</v>
      </c>
      <c r="B145" s="1" t="s">
        <v>4275</v>
      </c>
      <c r="D145" s="1" t="s">
        <v>1093</v>
      </c>
      <c r="E145" s="1" t="s">
        <v>4238</v>
      </c>
      <c r="F145" s="3">
        <v>0</v>
      </c>
      <c r="G145" s="8" t="s">
        <v>2772</v>
      </c>
      <c r="H145" s="8" t="s">
        <v>5160</v>
      </c>
      <c r="I145" s="3">
        <v>31</v>
      </c>
      <c r="J145" s="3" t="s">
        <v>5264</v>
      </c>
      <c r="K145" s="17" t="str">
        <f>HYPERLINK("http://ictvonline.org/taxonomyHistory.asp?taxnode_id=20170170","ICTVonline=20170170")</f>
        <v>ICTVonline=20170170</v>
      </c>
      <c r="L145" s="3">
        <v>144</v>
      </c>
    </row>
    <row r="146" spans="1:12" x14ac:dyDescent="0.15">
      <c r="A146" s="1" t="s">
        <v>4268</v>
      </c>
      <c r="B146" s="1" t="s">
        <v>4275</v>
      </c>
      <c r="D146" s="1" t="s">
        <v>1093</v>
      </c>
      <c r="E146" s="1" t="s">
        <v>4239</v>
      </c>
      <c r="F146" s="3">
        <v>0</v>
      </c>
      <c r="G146" s="8" t="s">
        <v>2772</v>
      </c>
      <c r="H146" s="8" t="s">
        <v>5160</v>
      </c>
      <c r="I146" s="3">
        <v>31</v>
      </c>
      <c r="J146" s="3" t="s">
        <v>5264</v>
      </c>
      <c r="K146" s="17" t="str">
        <f>HYPERLINK("http://ictvonline.org/taxonomyHistory.asp?taxnode_id=20170171","ICTVonline=20170171")</f>
        <v>ICTVonline=20170171</v>
      </c>
      <c r="L146" s="3">
        <v>145</v>
      </c>
    </row>
    <row r="147" spans="1:12" x14ac:dyDescent="0.15">
      <c r="A147" s="1" t="s">
        <v>4268</v>
      </c>
      <c r="B147" s="1" t="s">
        <v>4275</v>
      </c>
      <c r="D147" s="1" t="s">
        <v>1093</v>
      </c>
      <c r="E147" s="1" t="s">
        <v>4240</v>
      </c>
      <c r="F147" s="3">
        <v>0</v>
      </c>
      <c r="G147" s="8" t="s">
        <v>2772</v>
      </c>
      <c r="H147" s="8" t="s">
        <v>5160</v>
      </c>
      <c r="I147" s="3">
        <v>31</v>
      </c>
      <c r="J147" s="3" t="s">
        <v>5264</v>
      </c>
      <c r="K147" s="17" t="str">
        <f>HYPERLINK("http://ictvonline.org/taxonomyHistory.asp?taxnode_id=20170172","ICTVonline=20170172")</f>
        <v>ICTVonline=20170172</v>
      </c>
      <c r="L147" s="3">
        <v>146</v>
      </c>
    </row>
    <row r="148" spans="1:12" x14ac:dyDescent="0.15">
      <c r="A148" s="1" t="s">
        <v>4268</v>
      </c>
      <c r="B148" s="1" t="s">
        <v>4275</v>
      </c>
      <c r="D148" s="1" t="s">
        <v>1093</v>
      </c>
      <c r="E148" s="1" t="s">
        <v>4241</v>
      </c>
      <c r="F148" s="3">
        <v>0</v>
      </c>
      <c r="G148" s="8" t="s">
        <v>2772</v>
      </c>
      <c r="H148" s="8" t="s">
        <v>5160</v>
      </c>
      <c r="I148" s="3">
        <v>31</v>
      </c>
      <c r="J148" s="3" t="s">
        <v>5264</v>
      </c>
      <c r="K148" s="17" t="str">
        <f>HYPERLINK("http://ictvonline.org/taxonomyHistory.asp?taxnode_id=20170173","ICTVonline=20170173")</f>
        <v>ICTVonline=20170173</v>
      </c>
      <c r="L148" s="3">
        <v>147</v>
      </c>
    </row>
    <row r="149" spans="1:12" x14ac:dyDescent="0.15">
      <c r="A149" s="1" t="s">
        <v>4268</v>
      </c>
      <c r="B149" s="1" t="s">
        <v>4275</v>
      </c>
      <c r="D149" s="1" t="s">
        <v>1093</v>
      </c>
      <c r="E149" s="1" t="s">
        <v>4242</v>
      </c>
      <c r="F149" s="3">
        <v>1</v>
      </c>
      <c r="G149" s="8" t="s">
        <v>2772</v>
      </c>
      <c r="H149" s="8" t="s">
        <v>5160</v>
      </c>
      <c r="I149" s="3">
        <v>31</v>
      </c>
      <c r="J149" s="3" t="s">
        <v>5264</v>
      </c>
      <c r="K149" s="17" t="str">
        <f>HYPERLINK("http://ictvonline.org/taxonomyHistory.asp?taxnode_id=20170174","ICTVonline=20170174")</f>
        <v>ICTVonline=20170174</v>
      </c>
      <c r="L149" s="3">
        <v>148</v>
      </c>
    </row>
    <row r="150" spans="1:12" x14ac:dyDescent="0.15">
      <c r="A150" s="1" t="s">
        <v>4268</v>
      </c>
      <c r="B150" s="1" t="s">
        <v>4275</v>
      </c>
      <c r="D150" s="1" t="s">
        <v>1093</v>
      </c>
      <c r="E150" s="1" t="s">
        <v>4243</v>
      </c>
      <c r="F150" s="3">
        <v>0</v>
      </c>
      <c r="G150" s="8" t="s">
        <v>2772</v>
      </c>
      <c r="H150" s="8" t="s">
        <v>5160</v>
      </c>
      <c r="I150" s="3">
        <v>31</v>
      </c>
      <c r="J150" s="3" t="s">
        <v>5264</v>
      </c>
      <c r="K150" s="17" t="str">
        <f>HYPERLINK("http://ictvonline.org/taxonomyHistory.asp?taxnode_id=20170175","ICTVonline=20170175")</f>
        <v>ICTVonline=20170175</v>
      </c>
      <c r="L150" s="3">
        <v>149</v>
      </c>
    </row>
    <row r="151" spans="1:12" x14ac:dyDescent="0.15">
      <c r="A151" s="1" t="s">
        <v>4268</v>
      </c>
      <c r="B151" s="1" t="s">
        <v>4276</v>
      </c>
      <c r="D151" s="1" t="s">
        <v>4277</v>
      </c>
      <c r="E151" s="1" t="s">
        <v>4244</v>
      </c>
      <c r="F151" s="3">
        <v>0</v>
      </c>
      <c r="G151" s="8" t="s">
        <v>3817</v>
      </c>
      <c r="H151" s="8" t="s">
        <v>5160</v>
      </c>
      <c r="I151" s="3">
        <v>31</v>
      </c>
      <c r="J151" s="3" t="s">
        <v>5264</v>
      </c>
      <c r="K151" s="17" t="str">
        <f>HYPERLINK("http://ictvonline.org/taxonomyHistory.asp?taxnode_id=20170179","ICTVonline=20170179")</f>
        <v>ICTVonline=20170179</v>
      </c>
      <c r="L151" s="3">
        <v>150</v>
      </c>
    </row>
    <row r="152" spans="1:12" x14ac:dyDescent="0.15">
      <c r="A152" s="1" t="s">
        <v>4268</v>
      </c>
      <c r="B152" s="1" t="s">
        <v>4276</v>
      </c>
      <c r="D152" s="1" t="s">
        <v>4277</v>
      </c>
      <c r="E152" s="1" t="s">
        <v>4245</v>
      </c>
      <c r="F152" s="3">
        <v>0</v>
      </c>
      <c r="G152" s="8" t="s">
        <v>3817</v>
      </c>
      <c r="H152" s="8" t="s">
        <v>5160</v>
      </c>
      <c r="I152" s="3">
        <v>31</v>
      </c>
      <c r="J152" s="3" t="s">
        <v>5264</v>
      </c>
      <c r="K152" s="17" t="str">
        <f>HYPERLINK("http://ictvonline.org/taxonomyHistory.asp?taxnode_id=20170180","ICTVonline=20170180")</f>
        <v>ICTVonline=20170180</v>
      </c>
      <c r="L152" s="3">
        <v>151</v>
      </c>
    </row>
    <row r="153" spans="1:12" x14ac:dyDescent="0.15">
      <c r="A153" s="1" t="s">
        <v>4268</v>
      </c>
      <c r="B153" s="1" t="s">
        <v>4276</v>
      </c>
      <c r="D153" s="1" t="s">
        <v>4277</v>
      </c>
      <c r="E153" s="1" t="s">
        <v>4246</v>
      </c>
      <c r="F153" s="3">
        <v>0</v>
      </c>
      <c r="G153" s="8" t="s">
        <v>3817</v>
      </c>
      <c r="H153" s="8" t="s">
        <v>5160</v>
      </c>
      <c r="I153" s="3">
        <v>31</v>
      </c>
      <c r="J153" s="3" t="s">
        <v>5264</v>
      </c>
      <c r="K153" s="17" t="str">
        <f>HYPERLINK("http://ictvonline.org/taxonomyHistory.asp?taxnode_id=20170181","ICTVonline=20170181")</f>
        <v>ICTVonline=20170181</v>
      </c>
      <c r="L153" s="3">
        <v>152</v>
      </c>
    </row>
    <row r="154" spans="1:12" x14ac:dyDescent="0.15">
      <c r="A154" s="1" t="s">
        <v>4268</v>
      </c>
      <c r="B154" s="1" t="s">
        <v>4276</v>
      </c>
      <c r="D154" s="1" t="s">
        <v>4277</v>
      </c>
      <c r="E154" s="1" t="s">
        <v>4247</v>
      </c>
      <c r="F154" s="3">
        <v>0</v>
      </c>
      <c r="G154" s="8" t="s">
        <v>3817</v>
      </c>
      <c r="H154" s="8" t="s">
        <v>5160</v>
      </c>
      <c r="I154" s="3">
        <v>31</v>
      </c>
      <c r="J154" s="3" t="s">
        <v>5264</v>
      </c>
      <c r="K154" s="17" t="str">
        <f>HYPERLINK("http://ictvonline.org/taxonomyHistory.asp?taxnode_id=20170182","ICTVonline=20170182")</f>
        <v>ICTVonline=20170182</v>
      </c>
      <c r="L154" s="3">
        <v>153</v>
      </c>
    </row>
    <row r="155" spans="1:12" x14ac:dyDescent="0.15">
      <c r="A155" s="1" t="s">
        <v>4268</v>
      </c>
      <c r="B155" s="1" t="s">
        <v>4276</v>
      </c>
      <c r="D155" s="1" t="s">
        <v>4277</v>
      </c>
      <c r="E155" s="1" t="s">
        <v>4248</v>
      </c>
      <c r="F155" s="3">
        <v>0</v>
      </c>
      <c r="G155" s="8" t="s">
        <v>3817</v>
      </c>
      <c r="H155" s="8" t="s">
        <v>5160</v>
      </c>
      <c r="I155" s="3">
        <v>31</v>
      </c>
      <c r="J155" s="3" t="s">
        <v>5264</v>
      </c>
      <c r="K155" s="17" t="str">
        <f>HYPERLINK("http://ictvonline.org/taxonomyHistory.asp?taxnode_id=20170183","ICTVonline=20170183")</f>
        <v>ICTVonline=20170183</v>
      </c>
      <c r="L155" s="3">
        <v>154</v>
      </c>
    </row>
    <row r="156" spans="1:12" x14ac:dyDescent="0.15">
      <c r="A156" s="1" t="s">
        <v>4268</v>
      </c>
      <c r="B156" s="1" t="s">
        <v>4276</v>
      </c>
      <c r="D156" s="1" t="s">
        <v>4277</v>
      </c>
      <c r="E156" s="1" t="s">
        <v>4249</v>
      </c>
      <c r="F156" s="3">
        <v>0</v>
      </c>
      <c r="G156" s="8" t="s">
        <v>3817</v>
      </c>
      <c r="H156" s="8" t="s">
        <v>5160</v>
      </c>
      <c r="I156" s="3">
        <v>31</v>
      </c>
      <c r="J156" s="3" t="s">
        <v>5264</v>
      </c>
      <c r="K156" s="17" t="str">
        <f>HYPERLINK("http://ictvonline.org/taxonomyHistory.asp?taxnode_id=20170184","ICTVonline=20170184")</f>
        <v>ICTVonline=20170184</v>
      </c>
      <c r="L156" s="3">
        <v>155</v>
      </c>
    </row>
    <row r="157" spans="1:12" x14ac:dyDescent="0.15">
      <c r="A157" s="1" t="s">
        <v>4268</v>
      </c>
      <c r="B157" s="1" t="s">
        <v>4276</v>
      </c>
      <c r="D157" s="1" t="s">
        <v>4277</v>
      </c>
      <c r="E157" s="1" t="s">
        <v>4250</v>
      </c>
      <c r="F157" s="3">
        <v>0</v>
      </c>
      <c r="G157" s="8" t="s">
        <v>3817</v>
      </c>
      <c r="H157" s="8" t="s">
        <v>5160</v>
      </c>
      <c r="I157" s="3">
        <v>31</v>
      </c>
      <c r="J157" s="3" t="s">
        <v>5264</v>
      </c>
      <c r="K157" s="17" t="str">
        <f>HYPERLINK("http://ictvonline.org/taxonomyHistory.asp?taxnode_id=20170185","ICTVonline=20170185")</f>
        <v>ICTVonline=20170185</v>
      </c>
      <c r="L157" s="3">
        <v>156</v>
      </c>
    </row>
    <row r="158" spans="1:12" x14ac:dyDescent="0.15">
      <c r="A158" s="1" t="s">
        <v>4268</v>
      </c>
      <c r="B158" s="1" t="s">
        <v>4276</v>
      </c>
      <c r="D158" s="1" t="s">
        <v>4277</v>
      </c>
      <c r="E158" s="1" t="s">
        <v>4251</v>
      </c>
      <c r="F158" s="3">
        <v>1</v>
      </c>
      <c r="G158" s="8" t="s">
        <v>3817</v>
      </c>
      <c r="H158" s="8" t="s">
        <v>5160</v>
      </c>
      <c r="I158" s="3">
        <v>31</v>
      </c>
      <c r="J158" s="3" t="s">
        <v>5264</v>
      </c>
      <c r="K158" s="17" t="str">
        <f>HYPERLINK("http://ictvonline.org/taxonomyHistory.asp?taxnode_id=20170186","ICTVonline=20170186")</f>
        <v>ICTVonline=20170186</v>
      </c>
      <c r="L158" s="3">
        <v>157</v>
      </c>
    </row>
    <row r="159" spans="1:12" x14ac:dyDescent="0.15">
      <c r="A159" s="1" t="s">
        <v>4268</v>
      </c>
      <c r="B159" s="1" t="s">
        <v>4276</v>
      </c>
      <c r="D159" s="1" t="s">
        <v>4277</v>
      </c>
      <c r="E159" s="1" t="s">
        <v>4252</v>
      </c>
      <c r="F159" s="3">
        <v>0</v>
      </c>
      <c r="G159" s="8" t="s">
        <v>3817</v>
      </c>
      <c r="H159" s="8" t="s">
        <v>5160</v>
      </c>
      <c r="I159" s="3">
        <v>31</v>
      </c>
      <c r="J159" s="3" t="s">
        <v>5264</v>
      </c>
      <c r="K159" s="17" t="str">
        <f>HYPERLINK("http://ictvonline.org/taxonomyHistory.asp?taxnode_id=20170187","ICTVonline=20170187")</f>
        <v>ICTVonline=20170187</v>
      </c>
      <c r="L159" s="3">
        <v>158</v>
      </c>
    </row>
    <row r="160" spans="1:12" x14ac:dyDescent="0.15">
      <c r="A160" s="1" t="s">
        <v>4268</v>
      </c>
      <c r="B160" s="1" t="s">
        <v>4276</v>
      </c>
      <c r="D160" s="1" t="s">
        <v>4277</v>
      </c>
      <c r="E160" s="1" t="s">
        <v>4253</v>
      </c>
      <c r="F160" s="3">
        <v>0</v>
      </c>
      <c r="G160" s="8" t="s">
        <v>3817</v>
      </c>
      <c r="H160" s="8" t="s">
        <v>5160</v>
      </c>
      <c r="I160" s="3">
        <v>31</v>
      </c>
      <c r="J160" s="3" t="s">
        <v>5264</v>
      </c>
      <c r="K160" s="17" t="str">
        <f>HYPERLINK("http://ictvonline.org/taxonomyHistory.asp?taxnode_id=20170188","ICTVonline=20170188")</f>
        <v>ICTVonline=20170188</v>
      </c>
      <c r="L160" s="3">
        <v>159</v>
      </c>
    </row>
    <row r="161" spans="1:12" x14ac:dyDescent="0.15">
      <c r="A161" s="1" t="s">
        <v>4268</v>
      </c>
      <c r="B161" s="1" t="s">
        <v>4276</v>
      </c>
      <c r="D161" s="1" t="s">
        <v>4277</v>
      </c>
      <c r="E161" s="1" t="s">
        <v>4254</v>
      </c>
      <c r="F161" s="3">
        <v>0</v>
      </c>
      <c r="G161" s="8" t="s">
        <v>3817</v>
      </c>
      <c r="H161" s="8" t="s">
        <v>5160</v>
      </c>
      <c r="I161" s="3">
        <v>31</v>
      </c>
      <c r="J161" s="3" t="s">
        <v>5264</v>
      </c>
      <c r="K161" s="17" t="str">
        <f>HYPERLINK("http://ictvonline.org/taxonomyHistory.asp?taxnode_id=20170189","ICTVonline=20170189")</f>
        <v>ICTVonline=20170189</v>
      </c>
      <c r="L161" s="3">
        <v>160</v>
      </c>
    </row>
    <row r="162" spans="1:12" x14ac:dyDescent="0.15">
      <c r="A162" s="1" t="s">
        <v>1341</v>
      </c>
      <c r="B162" s="1" t="s">
        <v>5281</v>
      </c>
      <c r="C162" s="1" t="s">
        <v>5282</v>
      </c>
      <c r="D162" s="1" t="s">
        <v>5283</v>
      </c>
      <c r="E162" s="1" t="s">
        <v>5284</v>
      </c>
      <c r="F162" s="3">
        <v>0</v>
      </c>
      <c r="G162" s="8" t="s">
        <v>2771</v>
      </c>
      <c r="H162" s="8" t="s">
        <v>5159</v>
      </c>
      <c r="I162" s="3">
        <v>32</v>
      </c>
      <c r="J162" s="3" t="s">
        <v>5285</v>
      </c>
      <c r="K162" s="17" t="str">
        <f>HYPERLINK("http://ictvonline.org/taxonomyHistory.asp?taxnode_id=20175465","ICTVonline=20175465")</f>
        <v>ICTVonline=20175465</v>
      </c>
      <c r="L162" s="3">
        <v>161</v>
      </c>
    </row>
    <row r="163" spans="1:12" x14ac:dyDescent="0.15">
      <c r="A163" s="1" t="s">
        <v>1341</v>
      </c>
      <c r="B163" s="1" t="s">
        <v>5281</v>
      </c>
      <c r="C163" s="1" t="s">
        <v>5282</v>
      </c>
      <c r="D163" s="1" t="s">
        <v>5283</v>
      </c>
      <c r="E163" s="1" t="s">
        <v>3030</v>
      </c>
      <c r="F163" s="3">
        <v>1</v>
      </c>
      <c r="G163" s="8" t="s">
        <v>2771</v>
      </c>
      <c r="H163" s="8" t="s">
        <v>5161</v>
      </c>
      <c r="I163" s="3">
        <v>32</v>
      </c>
      <c r="J163" s="3" t="s">
        <v>5285</v>
      </c>
      <c r="K163" s="17" t="str">
        <f>HYPERLINK("http://ictvonline.org/taxonomyHistory.asp?taxnode_id=20170534","ICTVonline=20170534")</f>
        <v>ICTVonline=20170534</v>
      </c>
      <c r="L163" s="3">
        <v>162</v>
      </c>
    </row>
    <row r="164" spans="1:12" x14ac:dyDescent="0.15">
      <c r="A164" s="1" t="s">
        <v>1341</v>
      </c>
      <c r="B164" s="1" t="s">
        <v>5281</v>
      </c>
      <c r="C164" s="1" t="s">
        <v>5282</v>
      </c>
      <c r="D164" s="1" t="s">
        <v>5286</v>
      </c>
      <c r="E164" s="1" t="s">
        <v>3017</v>
      </c>
      <c r="F164" s="3">
        <v>1</v>
      </c>
      <c r="G164" s="8" t="s">
        <v>2771</v>
      </c>
      <c r="H164" s="8" t="s">
        <v>5161</v>
      </c>
      <c r="I164" s="3">
        <v>32</v>
      </c>
      <c r="J164" s="3" t="s">
        <v>5285</v>
      </c>
      <c r="K164" s="17" t="str">
        <f>HYPERLINK("http://ictvonline.org/taxonomyHistory.asp?taxnode_id=20170521","ICTVonline=20170521")</f>
        <v>ICTVonline=20170521</v>
      </c>
      <c r="L164" s="3">
        <v>163</v>
      </c>
    </row>
    <row r="165" spans="1:12" x14ac:dyDescent="0.15">
      <c r="A165" s="1" t="s">
        <v>1341</v>
      </c>
      <c r="B165" s="1" t="s">
        <v>5281</v>
      </c>
      <c r="C165" s="1" t="s">
        <v>5282</v>
      </c>
      <c r="D165" s="1" t="s">
        <v>5286</v>
      </c>
      <c r="E165" s="1" t="s">
        <v>5287</v>
      </c>
      <c r="F165" s="3">
        <v>0</v>
      </c>
      <c r="G165" s="8" t="s">
        <v>2771</v>
      </c>
      <c r="H165" s="8" t="s">
        <v>5159</v>
      </c>
      <c r="I165" s="3">
        <v>32</v>
      </c>
      <c r="J165" s="3" t="s">
        <v>5285</v>
      </c>
      <c r="K165" s="17" t="str">
        <f>HYPERLINK("http://ictvonline.org/taxonomyHistory.asp?taxnode_id=20175467","ICTVonline=20175467")</f>
        <v>ICTVonline=20175467</v>
      </c>
      <c r="L165" s="3">
        <v>164</v>
      </c>
    </row>
    <row r="166" spans="1:12" x14ac:dyDescent="0.15">
      <c r="A166" s="1" t="s">
        <v>1341</v>
      </c>
      <c r="B166" s="1" t="s">
        <v>5281</v>
      </c>
      <c r="C166" s="1" t="s">
        <v>5288</v>
      </c>
      <c r="D166" s="1" t="s">
        <v>5289</v>
      </c>
      <c r="E166" s="1" t="s">
        <v>3018</v>
      </c>
      <c r="F166" s="3">
        <v>1</v>
      </c>
      <c r="G166" s="8" t="s">
        <v>2771</v>
      </c>
      <c r="H166" s="8" t="s">
        <v>5161</v>
      </c>
      <c r="I166" s="3">
        <v>32</v>
      </c>
      <c r="J166" s="3" t="s">
        <v>5285</v>
      </c>
      <c r="K166" s="17" t="str">
        <f>HYPERLINK("http://ictvonline.org/taxonomyHistory.asp?taxnode_id=20170522","ICTVonline=20170522")</f>
        <v>ICTVonline=20170522</v>
      </c>
      <c r="L166" s="3">
        <v>165</v>
      </c>
    </row>
    <row r="167" spans="1:12" x14ac:dyDescent="0.15">
      <c r="A167" s="1" t="s">
        <v>1341</v>
      </c>
      <c r="B167" s="1" t="s">
        <v>5281</v>
      </c>
      <c r="C167" s="1" t="s">
        <v>5288</v>
      </c>
      <c r="D167" s="1" t="s">
        <v>5289</v>
      </c>
      <c r="E167" s="1" t="s">
        <v>3020</v>
      </c>
      <c r="F167" s="3">
        <v>0</v>
      </c>
      <c r="G167" s="8" t="s">
        <v>2771</v>
      </c>
      <c r="H167" s="8" t="s">
        <v>5161</v>
      </c>
      <c r="I167" s="3">
        <v>32</v>
      </c>
      <c r="J167" s="3" t="s">
        <v>5285</v>
      </c>
      <c r="K167" s="17" t="str">
        <f>HYPERLINK("http://ictvonline.org/taxonomyHistory.asp?taxnode_id=20170524","ICTVonline=20170524")</f>
        <v>ICTVonline=20170524</v>
      </c>
      <c r="L167" s="3">
        <v>166</v>
      </c>
    </row>
    <row r="168" spans="1:12" x14ac:dyDescent="0.15">
      <c r="A168" s="1" t="s">
        <v>1341</v>
      </c>
      <c r="B168" s="1" t="s">
        <v>5281</v>
      </c>
      <c r="C168" s="1" t="s">
        <v>5288</v>
      </c>
      <c r="D168" s="1" t="s">
        <v>5289</v>
      </c>
      <c r="E168" s="1" t="s">
        <v>5290</v>
      </c>
      <c r="F168" s="3">
        <v>0</v>
      </c>
      <c r="G168" s="8" t="s">
        <v>2771</v>
      </c>
      <c r="H168" s="8" t="s">
        <v>5159</v>
      </c>
      <c r="I168" s="3">
        <v>32</v>
      </c>
      <c r="J168" s="3" t="s">
        <v>5285</v>
      </c>
      <c r="K168" s="17" t="str">
        <f>HYPERLINK("http://ictvonline.org/taxonomyHistory.asp?taxnode_id=20175470","ICTVonline=20175470")</f>
        <v>ICTVonline=20175470</v>
      </c>
      <c r="L168" s="3">
        <v>167</v>
      </c>
    </row>
    <row r="169" spans="1:12" x14ac:dyDescent="0.15">
      <c r="A169" s="1" t="s">
        <v>1341</v>
      </c>
      <c r="B169" s="1" t="s">
        <v>5281</v>
      </c>
      <c r="C169" s="1" t="s">
        <v>5288</v>
      </c>
      <c r="D169" s="1" t="s">
        <v>5289</v>
      </c>
      <c r="E169" s="1" t="s">
        <v>3021</v>
      </c>
      <c r="F169" s="3">
        <v>0</v>
      </c>
      <c r="G169" s="8" t="s">
        <v>2771</v>
      </c>
      <c r="H169" s="8" t="s">
        <v>5161</v>
      </c>
      <c r="I169" s="3">
        <v>32</v>
      </c>
      <c r="J169" s="3" t="s">
        <v>5285</v>
      </c>
      <c r="K169" s="17" t="str">
        <f>HYPERLINK("http://ictvonline.org/taxonomyHistory.asp?taxnode_id=20170525","ICTVonline=20170525")</f>
        <v>ICTVonline=20170525</v>
      </c>
      <c r="L169" s="3">
        <v>168</v>
      </c>
    </row>
    <row r="170" spans="1:12" x14ac:dyDescent="0.15">
      <c r="A170" s="1" t="s">
        <v>1341</v>
      </c>
      <c r="B170" s="1" t="s">
        <v>5281</v>
      </c>
      <c r="C170" s="1" t="s">
        <v>5288</v>
      </c>
      <c r="D170" s="1" t="s">
        <v>5289</v>
      </c>
      <c r="E170" s="1" t="s">
        <v>5291</v>
      </c>
      <c r="F170" s="3">
        <v>0</v>
      </c>
      <c r="G170" s="8" t="s">
        <v>2771</v>
      </c>
      <c r="H170" s="8" t="s">
        <v>5159</v>
      </c>
      <c r="I170" s="3">
        <v>32</v>
      </c>
      <c r="J170" s="3" t="s">
        <v>5285</v>
      </c>
      <c r="K170" s="17" t="str">
        <f>HYPERLINK("http://ictvonline.org/taxonomyHistory.asp?taxnode_id=20175471","ICTVonline=20175471")</f>
        <v>ICTVonline=20175471</v>
      </c>
      <c r="L170" s="3">
        <v>169</v>
      </c>
    </row>
    <row r="171" spans="1:12" x14ac:dyDescent="0.15">
      <c r="A171" s="1" t="s">
        <v>1341</v>
      </c>
      <c r="B171" s="1" t="s">
        <v>5281</v>
      </c>
      <c r="C171" s="1" t="s">
        <v>5288</v>
      </c>
      <c r="D171" s="1" t="s">
        <v>5289</v>
      </c>
      <c r="E171" s="1" t="s">
        <v>5292</v>
      </c>
      <c r="F171" s="3">
        <v>0</v>
      </c>
      <c r="G171" s="8" t="s">
        <v>2771</v>
      </c>
      <c r="H171" s="8" t="s">
        <v>5159</v>
      </c>
      <c r="I171" s="3">
        <v>32</v>
      </c>
      <c r="J171" s="3" t="s">
        <v>5285</v>
      </c>
      <c r="K171" s="17" t="str">
        <f>HYPERLINK("http://ictvonline.org/taxonomyHistory.asp?taxnode_id=20175472","ICTVonline=20175472")</f>
        <v>ICTVonline=20175472</v>
      </c>
      <c r="L171" s="3">
        <v>170</v>
      </c>
    </row>
    <row r="172" spans="1:12" x14ac:dyDescent="0.15">
      <c r="A172" s="1" t="s">
        <v>1341</v>
      </c>
      <c r="B172" s="1" t="s">
        <v>5281</v>
      </c>
      <c r="C172" s="1" t="s">
        <v>5288</v>
      </c>
      <c r="D172" s="1" t="s">
        <v>5289</v>
      </c>
      <c r="E172" s="1" t="s">
        <v>3024</v>
      </c>
      <c r="F172" s="3">
        <v>0</v>
      </c>
      <c r="G172" s="8" t="s">
        <v>2771</v>
      </c>
      <c r="H172" s="8" t="s">
        <v>5161</v>
      </c>
      <c r="I172" s="3">
        <v>32</v>
      </c>
      <c r="J172" s="3" t="s">
        <v>5285</v>
      </c>
      <c r="K172" s="17" t="str">
        <f>HYPERLINK("http://ictvonline.org/taxonomyHistory.asp?taxnode_id=20170528","ICTVonline=20170528")</f>
        <v>ICTVonline=20170528</v>
      </c>
      <c r="L172" s="3">
        <v>171</v>
      </c>
    </row>
    <row r="173" spans="1:12" x14ac:dyDescent="0.15">
      <c r="A173" s="1" t="s">
        <v>1341</v>
      </c>
      <c r="B173" s="1" t="s">
        <v>5281</v>
      </c>
      <c r="C173" s="1" t="s">
        <v>5288</v>
      </c>
      <c r="D173" s="1" t="s">
        <v>5289</v>
      </c>
      <c r="E173" s="1" t="s">
        <v>3025</v>
      </c>
      <c r="F173" s="3">
        <v>0</v>
      </c>
      <c r="G173" s="8" t="s">
        <v>2771</v>
      </c>
      <c r="H173" s="8" t="s">
        <v>5161</v>
      </c>
      <c r="I173" s="3">
        <v>32</v>
      </c>
      <c r="J173" s="3" t="s">
        <v>5285</v>
      </c>
      <c r="K173" s="17" t="str">
        <f>HYPERLINK("http://ictvonline.org/taxonomyHistory.asp?taxnode_id=20170529","ICTVonline=20170529")</f>
        <v>ICTVonline=20170529</v>
      </c>
      <c r="L173" s="3">
        <v>172</v>
      </c>
    </row>
    <row r="174" spans="1:12" x14ac:dyDescent="0.15">
      <c r="A174" s="1" t="s">
        <v>1341</v>
      </c>
      <c r="B174" s="1" t="s">
        <v>5281</v>
      </c>
      <c r="C174" s="1" t="s">
        <v>5288</v>
      </c>
      <c r="D174" s="1" t="s">
        <v>5289</v>
      </c>
      <c r="E174" s="1" t="s">
        <v>3027</v>
      </c>
      <c r="F174" s="3">
        <v>0</v>
      </c>
      <c r="G174" s="8" t="s">
        <v>2771</v>
      </c>
      <c r="H174" s="8" t="s">
        <v>5161</v>
      </c>
      <c r="I174" s="3">
        <v>32</v>
      </c>
      <c r="J174" s="3" t="s">
        <v>5285</v>
      </c>
      <c r="K174" s="17" t="str">
        <f>HYPERLINK("http://ictvonline.org/taxonomyHistory.asp?taxnode_id=20170531","ICTVonline=20170531")</f>
        <v>ICTVonline=20170531</v>
      </c>
      <c r="L174" s="3">
        <v>173</v>
      </c>
    </row>
    <row r="175" spans="1:12" x14ac:dyDescent="0.15">
      <c r="A175" s="1" t="s">
        <v>1341</v>
      </c>
      <c r="B175" s="1" t="s">
        <v>5281</v>
      </c>
      <c r="C175" s="1" t="s">
        <v>5288</v>
      </c>
      <c r="D175" s="1" t="s">
        <v>3016</v>
      </c>
      <c r="E175" s="1" t="s">
        <v>3019</v>
      </c>
      <c r="F175" s="3">
        <v>0</v>
      </c>
      <c r="G175" s="8" t="s">
        <v>2771</v>
      </c>
      <c r="H175" s="8" t="s">
        <v>5161</v>
      </c>
      <c r="I175" s="3">
        <v>32</v>
      </c>
      <c r="J175" s="3" t="s">
        <v>5285</v>
      </c>
      <c r="K175" s="17" t="str">
        <f>HYPERLINK("http://ictvonline.org/taxonomyHistory.asp?taxnode_id=20170523","ICTVonline=20170523")</f>
        <v>ICTVonline=20170523</v>
      </c>
      <c r="L175" s="3">
        <v>174</v>
      </c>
    </row>
    <row r="176" spans="1:12" x14ac:dyDescent="0.15">
      <c r="A176" s="1" t="s">
        <v>1341</v>
      </c>
      <c r="B176" s="1" t="s">
        <v>5281</v>
      </c>
      <c r="C176" s="1" t="s">
        <v>5288</v>
      </c>
      <c r="D176" s="1" t="s">
        <v>3016</v>
      </c>
      <c r="E176" s="1" t="s">
        <v>3022</v>
      </c>
      <c r="F176" s="3">
        <v>0</v>
      </c>
      <c r="G176" s="8" t="s">
        <v>2771</v>
      </c>
      <c r="H176" s="8" t="s">
        <v>5161</v>
      </c>
      <c r="I176" s="3">
        <v>32</v>
      </c>
      <c r="J176" s="3" t="s">
        <v>5285</v>
      </c>
      <c r="K176" s="17" t="str">
        <f>HYPERLINK("http://ictvonline.org/taxonomyHistory.asp?taxnode_id=20170526","ICTVonline=20170526")</f>
        <v>ICTVonline=20170526</v>
      </c>
      <c r="L176" s="3">
        <v>175</v>
      </c>
    </row>
    <row r="177" spans="1:12" x14ac:dyDescent="0.15">
      <c r="A177" s="1" t="s">
        <v>1341</v>
      </c>
      <c r="B177" s="1" t="s">
        <v>5281</v>
      </c>
      <c r="C177" s="1" t="s">
        <v>5288</v>
      </c>
      <c r="D177" s="1" t="s">
        <v>3016</v>
      </c>
      <c r="E177" s="1" t="s">
        <v>3023</v>
      </c>
      <c r="F177" s="3">
        <v>0</v>
      </c>
      <c r="G177" s="8" t="s">
        <v>2771</v>
      </c>
      <c r="H177" s="8" t="s">
        <v>5161</v>
      </c>
      <c r="I177" s="3">
        <v>32</v>
      </c>
      <c r="J177" s="3" t="s">
        <v>5285</v>
      </c>
      <c r="K177" s="17" t="str">
        <f>HYPERLINK("http://ictvonline.org/taxonomyHistory.asp?taxnode_id=20170527","ICTVonline=20170527")</f>
        <v>ICTVonline=20170527</v>
      </c>
      <c r="L177" s="3">
        <v>176</v>
      </c>
    </row>
    <row r="178" spans="1:12" x14ac:dyDescent="0.15">
      <c r="A178" s="1" t="s">
        <v>1341</v>
      </c>
      <c r="B178" s="1" t="s">
        <v>5281</v>
      </c>
      <c r="C178" s="1" t="s">
        <v>5288</v>
      </c>
      <c r="D178" s="1" t="s">
        <v>3016</v>
      </c>
      <c r="E178" s="1" t="s">
        <v>3026</v>
      </c>
      <c r="F178" s="3">
        <v>0</v>
      </c>
      <c r="G178" s="8" t="s">
        <v>2771</v>
      </c>
      <c r="H178" s="8" t="s">
        <v>5161</v>
      </c>
      <c r="I178" s="3">
        <v>32</v>
      </c>
      <c r="J178" s="3" t="s">
        <v>5285</v>
      </c>
      <c r="K178" s="17" t="str">
        <f>HYPERLINK("http://ictvonline.org/taxonomyHistory.asp?taxnode_id=20170530","ICTVonline=20170530")</f>
        <v>ICTVonline=20170530</v>
      </c>
      <c r="L178" s="3">
        <v>177</v>
      </c>
    </row>
    <row r="179" spans="1:12" x14ac:dyDescent="0.15">
      <c r="A179" s="1" t="s">
        <v>1341</v>
      </c>
      <c r="B179" s="1" t="s">
        <v>5281</v>
      </c>
      <c r="C179" s="1" t="s">
        <v>5288</v>
      </c>
      <c r="D179" s="1" t="s">
        <v>3016</v>
      </c>
      <c r="E179" s="1" t="s">
        <v>3028</v>
      </c>
      <c r="F179" s="3">
        <v>0</v>
      </c>
      <c r="G179" s="8" t="s">
        <v>2771</v>
      </c>
      <c r="H179" s="8" t="s">
        <v>5161</v>
      </c>
      <c r="I179" s="3">
        <v>32</v>
      </c>
      <c r="J179" s="3" t="s">
        <v>5285</v>
      </c>
      <c r="K179" s="17" t="str">
        <f>HYPERLINK("http://ictvonline.org/taxonomyHistory.asp?taxnode_id=20170532","ICTVonline=20170532")</f>
        <v>ICTVonline=20170532</v>
      </c>
      <c r="L179" s="3">
        <v>178</v>
      </c>
    </row>
    <row r="180" spans="1:12" x14ac:dyDescent="0.15">
      <c r="A180" s="1" t="s">
        <v>1341</v>
      </c>
      <c r="B180" s="1" t="s">
        <v>5281</v>
      </c>
      <c r="C180" s="1" t="s">
        <v>5288</v>
      </c>
      <c r="D180" s="1" t="s">
        <v>3016</v>
      </c>
      <c r="E180" s="1" t="s">
        <v>3029</v>
      </c>
      <c r="F180" s="3">
        <v>1</v>
      </c>
      <c r="G180" s="8" t="s">
        <v>2771</v>
      </c>
      <c r="H180" s="8" t="s">
        <v>5161</v>
      </c>
      <c r="I180" s="3">
        <v>32</v>
      </c>
      <c r="J180" s="3" t="s">
        <v>5285</v>
      </c>
      <c r="K180" s="17" t="str">
        <f>HYPERLINK("http://ictvonline.org/taxonomyHistory.asp?taxnode_id=20170533","ICTVonline=20170533")</f>
        <v>ICTVonline=20170533</v>
      </c>
      <c r="L180" s="3">
        <v>179</v>
      </c>
    </row>
    <row r="181" spans="1:12" x14ac:dyDescent="0.15">
      <c r="A181" s="1" t="s">
        <v>1341</v>
      </c>
      <c r="B181" s="1" t="s">
        <v>5281</v>
      </c>
      <c r="D181" s="1" t="s">
        <v>908</v>
      </c>
      <c r="E181" s="1" t="s">
        <v>5293</v>
      </c>
      <c r="F181" s="3">
        <v>0</v>
      </c>
      <c r="G181" s="8" t="s">
        <v>2771</v>
      </c>
      <c r="H181" s="8" t="s">
        <v>5159</v>
      </c>
      <c r="I181" s="3">
        <v>32</v>
      </c>
      <c r="J181" s="3" t="s">
        <v>5285</v>
      </c>
      <c r="K181" s="17" t="str">
        <f>HYPERLINK("http://ictvonline.org/taxonomyHistory.asp?taxnode_id=20175475","ICTVonline=20175475")</f>
        <v>ICTVonline=20175475</v>
      </c>
      <c r="L181" s="3">
        <v>180</v>
      </c>
    </row>
    <row r="182" spans="1:12" x14ac:dyDescent="0.15">
      <c r="A182" s="1" t="s">
        <v>1341</v>
      </c>
      <c r="B182" s="1" t="s">
        <v>5281</v>
      </c>
      <c r="D182" s="1" t="s">
        <v>908</v>
      </c>
      <c r="E182" s="1" t="s">
        <v>5294</v>
      </c>
      <c r="F182" s="3">
        <v>0</v>
      </c>
      <c r="G182" s="8" t="s">
        <v>2771</v>
      </c>
      <c r="H182" s="8" t="s">
        <v>5159</v>
      </c>
      <c r="I182" s="3">
        <v>32</v>
      </c>
      <c r="J182" s="3" t="s">
        <v>5285</v>
      </c>
      <c r="K182" s="17" t="str">
        <f>HYPERLINK("http://ictvonline.org/taxonomyHistory.asp?taxnode_id=20175476","ICTVonline=20175476")</f>
        <v>ICTVonline=20175476</v>
      </c>
      <c r="L182" s="3">
        <v>181</v>
      </c>
    </row>
    <row r="183" spans="1:12" x14ac:dyDescent="0.15">
      <c r="A183" s="1" t="s">
        <v>1341</v>
      </c>
      <c r="B183" s="1" t="s">
        <v>5281</v>
      </c>
      <c r="D183" s="1" t="s">
        <v>908</v>
      </c>
      <c r="E183" s="1" t="s">
        <v>5295</v>
      </c>
      <c r="F183" s="3">
        <v>0</v>
      </c>
      <c r="G183" s="8" t="s">
        <v>2771</v>
      </c>
      <c r="H183" s="8" t="s">
        <v>5159</v>
      </c>
      <c r="I183" s="3">
        <v>32</v>
      </c>
      <c r="J183" s="3" t="s">
        <v>5285</v>
      </c>
      <c r="K183" s="17" t="str">
        <f>HYPERLINK("http://ictvonline.org/taxonomyHistory.asp?taxnode_id=20175477","ICTVonline=20175477")</f>
        <v>ICTVonline=20175477</v>
      </c>
      <c r="L183" s="3">
        <v>182</v>
      </c>
    </row>
    <row r="184" spans="1:12" x14ac:dyDescent="0.15">
      <c r="A184" s="1" t="s">
        <v>1341</v>
      </c>
      <c r="B184" s="1" t="s">
        <v>5281</v>
      </c>
      <c r="D184" s="1" t="s">
        <v>908</v>
      </c>
      <c r="E184" s="1" t="s">
        <v>5296</v>
      </c>
      <c r="F184" s="3">
        <v>0</v>
      </c>
      <c r="G184" s="8" t="s">
        <v>2771</v>
      </c>
      <c r="H184" s="8" t="s">
        <v>5159</v>
      </c>
      <c r="I184" s="3">
        <v>32</v>
      </c>
      <c r="J184" s="3" t="s">
        <v>5285</v>
      </c>
      <c r="K184" s="17" t="str">
        <f>HYPERLINK("http://ictvonline.org/taxonomyHistory.asp?taxnode_id=20175478","ICTVonline=20175478")</f>
        <v>ICTVonline=20175478</v>
      </c>
      <c r="L184" s="3">
        <v>183</v>
      </c>
    </row>
    <row r="185" spans="1:12" x14ac:dyDescent="0.15">
      <c r="A185" s="1" t="s">
        <v>1341</v>
      </c>
      <c r="B185" s="1" t="s">
        <v>1342</v>
      </c>
      <c r="C185" s="1" t="s">
        <v>2650</v>
      </c>
      <c r="D185" s="1" t="s">
        <v>2785</v>
      </c>
      <c r="E185" s="1" t="s">
        <v>5158</v>
      </c>
      <c r="F185" s="3">
        <v>0</v>
      </c>
      <c r="G185" s="8" t="s">
        <v>2771</v>
      </c>
      <c r="H185" s="8" t="s">
        <v>5160</v>
      </c>
      <c r="I185" s="3">
        <v>30</v>
      </c>
      <c r="J185" s="3" t="s">
        <v>5297</v>
      </c>
      <c r="K185" s="17" t="str">
        <f>HYPERLINK("http://ictvonline.org/taxonomyHistory.asp?taxnode_id=20170194","ICTVonline=20170194")</f>
        <v>ICTVonline=20170194</v>
      </c>
      <c r="L185" s="3">
        <v>184</v>
      </c>
    </row>
    <row r="186" spans="1:12" x14ac:dyDescent="0.15">
      <c r="A186" s="1" t="s">
        <v>1341</v>
      </c>
      <c r="B186" s="1" t="s">
        <v>1342</v>
      </c>
      <c r="C186" s="1" t="s">
        <v>2650</v>
      </c>
      <c r="D186" s="1" t="s">
        <v>2785</v>
      </c>
      <c r="E186" s="1" t="s">
        <v>2786</v>
      </c>
      <c r="F186" s="3">
        <v>1</v>
      </c>
      <c r="G186" s="8" t="s">
        <v>2771</v>
      </c>
      <c r="H186" s="8" t="s">
        <v>5160</v>
      </c>
      <c r="I186" s="3">
        <v>30</v>
      </c>
      <c r="J186" s="3" t="s">
        <v>5297</v>
      </c>
      <c r="K186" s="17" t="str">
        <f>HYPERLINK("http://ictvonline.org/taxonomyHistory.asp?taxnode_id=20170195","ICTVonline=20170195")</f>
        <v>ICTVonline=20170195</v>
      </c>
      <c r="L186" s="3">
        <v>185</v>
      </c>
    </row>
    <row r="187" spans="1:12" x14ac:dyDescent="0.15">
      <c r="A187" s="1" t="s">
        <v>1341</v>
      </c>
      <c r="B187" s="1" t="s">
        <v>1342</v>
      </c>
      <c r="C187" s="1" t="s">
        <v>2650</v>
      </c>
      <c r="D187" s="1" t="s">
        <v>2785</v>
      </c>
      <c r="E187" s="1" t="s">
        <v>2787</v>
      </c>
      <c r="F187" s="3">
        <v>0</v>
      </c>
      <c r="G187" s="8" t="s">
        <v>2771</v>
      </c>
      <c r="H187" s="8" t="s">
        <v>5160</v>
      </c>
      <c r="I187" s="3">
        <v>30</v>
      </c>
      <c r="J187" s="3" t="s">
        <v>5297</v>
      </c>
      <c r="K187" s="17" t="str">
        <f>HYPERLINK("http://ictvonline.org/taxonomyHistory.asp?taxnode_id=20170196","ICTVonline=20170196")</f>
        <v>ICTVonline=20170196</v>
      </c>
      <c r="L187" s="3">
        <v>186</v>
      </c>
    </row>
    <row r="188" spans="1:12" x14ac:dyDescent="0.15">
      <c r="A188" s="1" t="s">
        <v>1341</v>
      </c>
      <c r="B188" s="1" t="s">
        <v>1342</v>
      </c>
      <c r="C188" s="1" t="s">
        <v>2650</v>
      </c>
      <c r="D188" s="1" t="s">
        <v>2785</v>
      </c>
      <c r="E188" s="1" t="s">
        <v>2788</v>
      </c>
      <c r="F188" s="3">
        <v>0</v>
      </c>
      <c r="G188" s="8" t="s">
        <v>2771</v>
      </c>
      <c r="H188" s="8" t="s">
        <v>5160</v>
      </c>
      <c r="I188" s="3">
        <v>30</v>
      </c>
      <c r="J188" s="3" t="s">
        <v>5297</v>
      </c>
      <c r="K188" s="17" t="str">
        <f>HYPERLINK("http://ictvonline.org/taxonomyHistory.asp?taxnode_id=20170197","ICTVonline=20170197")</f>
        <v>ICTVonline=20170197</v>
      </c>
      <c r="L188" s="3">
        <v>187</v>
      </c>
    </row>
    <row r="189" spans="1:12" x14ac:dyDescent="0.15">
      <c r="A189" s="1" t="s">
        <v>1341</v>
      </c>
      <c r="B189" s="1" t="s">
        <v>1342</v>
      </c>
      <c r="C189" s="1" t="s">
        <v>2650</v>
      </c>
      <c r="D189" s="1" t="s">
        <v>2789</v>
      </c>
      <c r="E189" s="1" t="s">
        <v>2790</v>
      </c>
      <c r="F189" s="3">
        <v>1</v>
      </c>
      <c r="G189" s="8" t="s">
        <v>2771</v>
      </c>
      <c r="H189" s="8" t="s">
        <v>5160</v>
      </c>
      <c r="I189" s="3">
        <v>30</v>
      </c>
      <c r="J189" s="3" t="s">
        <v>5297</v>
      </c>
      <c r="K189" s="17" t="str">
        <f>HYPERLINK("http://ictvonline.org/taxonomyHistory.asp?taxnode_id=20170199","ICTVonline=20170199")</f>
        <v>ICTVonline=20170199</v>
      </c>
      <c r="L189" s="3">
        <v>188</v>
      </c>
    </row>
    <row r="190" spans="1:12" x14ac:dyDescent="0.15">
      <c r="A190" s="1" t="s">
        <v>1341</v>
      </c>
      <c r="B190" s="1" t="s">
        <v>1342</v>
      </c>
      <c r="C190" s="1" t="s">
        <v>2650</v>
      </c>
      <c r="D190" s="1" t="s">
        <v>2789</v>
      </c>
      <c r="E190" s="1" t="s">
        <v>4367</v>
      </c>
      <c r="F190" s="3">
        <v>0</v>
      </c>
      <c r="G190" s="8" t="s">
        <v>2771</v>
      </c>
      <c r="H190" s="8" t="s">
        <v>5159</v>
      </c>
      <c r="I190" s="3">
        <v>31</v>
      </c>
      <c r="J190" s="3" t="s">
        <v>5298</v>
      </c>
      <c r="K190" s="17" t="str">
        <f>HYPERLINK("http://ictvonline.org/taxonomyHistory.asp?taxnode_id=20170200","ICTVonline=20170200")</f>
        <v>ICTVonline=20170200</v>
      </c>
      <c r="L190" s="3">
        <v>189</v>
      </c>
    </row>
    <row r="191" spans="1:12" x14ac:dyDescent="0.15">
      <c r="A191" s="1" t="s">
        <v>1341</v>
      </c>
      <c r="B191" s="1" t="s">
        <v>1342</v>
      </c>
      <c r="C191" s="1" t="s">
        <v>2650</v>
      </c>
      <c r="D191" s="1" t="s">
        <v>2789</v>
      </c>
      <c r="E191" s="1" t="s">
        <v>2791</v>
      </c>
      <c r="F191" s="3">
        <v>0</v>
      </c>
      <c r="G191" s="8" t="s">
        <v>2771</v>
      </c>
      <c r="H191" s="8" t="s">
        <v>5160</v>
      </c>
      <c r="I191" s="3">
        <v>30</v>
      </c>
      <c r="J191" s="3" t="s">
        <v>5297</v>
      </c>
      <c r="K191" s="17" t="str">
        <f>HYPERLINK("http://ictvonline.org/taxonomyHistory.asp?taxnode_id=20170201","ICTVonline=20170201")</f>
        <v>ICTVonline=20170201</v>
      </c>
      <c r="L191" s="3">
        <v>190</v>
      </c>
    </row>
    <row r="192" spans="1:12" x14ac:dyDescent="0.15">
      <c r="A192" s="1" t="s">
        <v>1341</v>
      </c>
      <c r="B192" s="1" t="s">
        <v>1342</v>
      </c>
      <c r="C192" s="1" t="s">
        <v>2650</v>
      </c>
      <c r="D192" s="1" t="s">
        <v>2789</v>
      </c>
      <c r="E192" s="1" t="s">
        <v>2792</v>
      </c>
      <c r="F192" s="3">
        <v>0</v>
      </c>
      <c r="G192" s="8" t="s">
        <v>2771</v>
      </c>
      <c r="H192" s="8" t="s">
        <v>5160</v>
      </c>
      <c r="I192" s="3">
        <v>30</v>
      </c>
      <c r="J192" s="3" t="s">
        <v>5297</v>
      </c>
      <c r="K192" s="17" t="str">
        <f>HYPERLINK("http://ictvonline.org/taxonomyHistory.asp?taxnode_id=20170202","ICTVonline=20170202")</f>
        <v>ICTVonline=20170202</v>
      </c>
      <c r="L192" s="3">
        <v>191</v>
      </c>
    </row>
    <row r="193" spans="1:12" x14ac:dyDescent="0.15">
      <c r="A193" s="1" t="s">
        <v>1341</v>
      </c>
      <c r="B193" s="1" t="s">
        <v>1342</v>
      </c>
      <c r="C193" s="1" t="s">
        <v>4278</v>
      </c>
      <c r="D193" s="1" t="s">
        <v>4279</v>
      </c>
      <c r="E193" s="1" t="s">
        <v>2946</v>
      </c>
      <c r="F193" s="3">
        <v>1</v>
      </c>
      <c r="G193" s="8" t="s">
        <v>2771</v>
      </c>
      <c r="H193" s="8" t="s">
        <v>5161</v>
      </c>
      <c r="I193" s="3">
        <v>31</v>
      </c>
      <c r="J193" s="3" t="s">
        <v>5299</v>
      </c>
      <c r="K193" s="17" t="str">
        <f>HYPERLINK("http://ictvonline.org/taxonomyHistory.asp?taxnode_id=20170205","ICTVonline=20170205")</f>
        <v>ICTVonline=20170205</v>
      </c>
      <c r="L193" s="3">
        <v>192</v>
      </c>
    </row>
    <row r="194" spans="1:12" x14ac:dyDescent="0.15">
      <c r="A194" s="1" t="s">
        <v>1341</v>
      </c>
      <c r="B194" s="1" t="s">
        <v>1342</v>
      </c>
      <c r="C194" s="1" t="s">
        <v>4278</v>
      </c>
      <c r="D194" s="1" t="s">
        <v>4279</v>
      </c>
      <c r="E194" s="1" t="s">
        <v>4368</v>
      </c>
      <c r="F194" s="3">
        <v>0</v>
      </c>
      <c r="G194" s="8" t="s">
        <v>2771</v>
      </c>
      <c r="H194" s="8" t="s">
        <v>5159</v>
      </c>
      <c r="I194" s="3">
        <v>31</v>
      </c>
      <c r="J194" s="3" t="s">
        <v>5299</v>
      </c>
      <c r="K194" s="17" t="str">
        <f>HYPERLINK("http://ictvonline.org/taxonomyHistory.asp?taxnode_id=20170206","ICTVonline=20170206")</f>
        <v>ICTVonline=20170206</v>
      </c>
      <c r="L194" s="3">
        <v>193</v>
      </c>
    </row>
    <row r="195" spans="1:12" x14ac:dyDescent="0.15">
      <c r="A195" s="1" t="s">
        <v>1341</v>
      </c>
      <c r="B195" s="1" t="s">
        <v>1342</v>
      </c>
      <c r="C195" s="1" t="s">
        <v>4278</v>
      </c>
      <c r="D195" s="1" t="s">
        <v>2945</v>
      </c>
      <c r="E195" s="1" t="s">
        <v>2947</v>
      </c>
      <c r="F195" s="3">
        <v>0</v>
      </c>
      <c r="G195" s="8" t="s">
        <v>2771</v>
      </c>
      <c r="H195" s="8" t="s">
        <v>5161</v>
      </c>
      <c r="I195" s="3">
        <v>31</v>
      </c>
      <c r="J195" s="3" t="s">
        <v>5299</v>
      </c>
      <c r="K195" s="17" t="str">
        <f>HYPERLINK("http://ictvonline.org/taxonomyHistory.asp?taxnode_id=20170208","ICTVonline=20170208")</f>
        <v>ICTVonline=20170208</v>
      </c>
      <c r="L195" s="3">
        <v>194</v>
      </c>
    </row>
    <row r="196" spans="1:12" x14ac:dyDescent="0.15">
      <c r="A196" s="1" t="s">
        <v>1341</v>
      </c>
      <c r="B196" s="1" t="s">
        <v>1342</v>
      </c>
      <c r="C196" s="1" t="s">
        <v>4278</v>
      </c>
      <c r="D196" s="1" t="s">
        <v>2945</v>
      </c>
      <c r="E196" s="1" t="s">
        <v>2948</v>
      </c>
      <c r="F196" s="3">
        <v>0</v>
      </c>
      <c r="G196" s="8" t="s">
        <v>2771</v>
      </c>
      <c r="H196" s="8" t="s">
        <v>5161</v>
      </c>
      <c r="I196" s="3">
        <v>31</v>
      </c>
      <c r="J196" s="3" t="s">
        <v>5299</v>
      </c>
      <c r="K196" s="17" t="str">
        <f>HYPERLINK("http://ictvonline.org/taxonomyHistory.asp?taxnode_id=20170209","ICTVonline=20170209")</f>
        <v>ICTVonline=20170209</v>
      </c>
      <c r="L196" s="3">
        <v>195</v>
      </c>
    </row>
    <row r="197" spans="1:12" x14ac:dyDescent="0.15">
      <c r="A197" s="1" t="s">
        <v>1341</v>
      </c>
      <c r="B197" s="1" t="s">
        <v>1342</v>
      </c>
      <c r="C197" s="1" t="s">
        <v>4278</v>
      </c>
      <c r="D197" s="1" t="s">
        <v>2945</v>
      </c>
      <c r="E197" s="1" t="s">
        <v>4369</v>
      </c>
      <c r="F197" s="3">
        <v>0</v>
      </c>
      <c r="G197" s="8" t="s">
        <v>2771</v>
      </c>
      <c r="H197" s="8" t="s">
        <v>5159</v>
      </c>
      <c r="I197" s="3">
        <v>31</v>
      </c>
      <c r="J197" s="3" t="s">
        <v>5299</v>
      </c>
      <c r="K197" s="17" t="str">
        <f>HYPERLINK("http://ictvonline.org/taxonomyHistory.asp?taxnode_id=20170210","ICTVonline=20170210")</f>
        <v>ICTVonline=20170210</v>
      </c>
      <c r="L197" s="3">
        <v>196</v>
      </c>
    </row>
    <row r="198" spans="1:12" x14ac:dyDescent="0.15">
      <c r="A198" s="1" t="s">
        <v>1341</v>
      </c>
      <c r="B198" s="1" t="s">
        <v>1342</v>
      </c>
      <c r="C198" s="1" t="s">
        <v>4278</v>
      </c>
      <c r="D198" s="1" t="s">
        <v>2945</v>
      </c>
      <c r="E198" s="1" t="s">
        <v>2949</v>
      </c>
      <c r="F198" s="3">
        <v>0</v>
      </c>
      <c r="G198" s="8" t="s">
        <v>2771</v>
      </c>
      <c r="H198" s="8" t="s">
        <v>5161</v>
      </c>
      <c r="I198" s="3">
        <v>31</v>
      </c>
      <c r="J198" s="3" t="s">
        <v>5299</v>
      </c>
      <c r="K198" s="17" t="str">
        <f>HYPERLINK("http://ictvonline.org/taxonomyHistory.asp?taxnode_id=20170211","ICTVonline=20170211")</f>
        <v>ICTVonline=20170211</v>
      </c>
      <c r="L198" s="3">
        <v>197</v>
      </c>
    </row>
    <row r="199" spans="1:12" x14ac:dyDescent="0.15">
      <c r="A199" s="1" t="s">
        <v>1341</v>
      </c>
      <c r="B199" s="1" t="s">
        <v>1342</v>
      </c>
      <c r="C199" s="1" t="s">
        <v>4278</v>
      </c>
      <c r="D199" s="1" t="s">
        <v>2945</v>
      </c>
      <c r="E199" s="1" t="s">
        <v>4370</v>
      </c>
      <c r="F199" s="3">
        <v>0</v>
      </c>
      <c r="G199" s="8" t="s">
        <v>2771</v>
      </c>
      <c r="H199" s="8" t="s">
        <v>5159</v>
      </c>
      <c r="I199" s="3">
        <v>31</v>
      </c>
      <c r="J199" s="3" t="s">
        <v>5299</v>
      </c>
      <c r="K199" s="17" t="str">
        <f>HYPERLINK("http://ictvonline.org/taxonomyHistory.asp?taxnode_id=20170212","ICTVonline=20170212")</f>
        <v>ICTVonline=20170212</v>
      </c>
      <c r="L199" s="3">
        <v>198</v>
      </c>
    </row>
    <row r="200" spans="1:12" x14ac:dyDescent="0.15">
      <c r="A200" s="1" t="s">
        <v>1341</v>
      </c>
      <c r="B200" s="1" t="s">
        <v>1342</v>
      </c>
      <c r="C200" s="1" t="s">
        <v>4278</v>
      </c>
      <c r="D200" s="1" t="s">
        <v>2945</v>
      </c>
      <c r="E200" s="1" t="s">
        <v>2950</v>
      </c>
      <c r="F200" s="3">
        <v>0</v>
      </c>
      <c r="G200" s="8" t="s">
        <v>2771</v>
      </c>
      <c r="H200" s="8" t="s">
        <v>5161</v>
      </c>
      <c r="I200" s="3">
        <v>31</v>
      </c>
      <c r="J200" s="3" t="s">
        <v>5299</v>
      </c>
      <c r="K200" s="17" t="str">
        <f>HYPERLINK("http://ictvonline.org/taxonomyHistory.asp?taxnode_id=20170213","ICTVonline=20170213")</f>
        <v>ICTVonline=20170213</v>
      </c>
      <c r="L200" s="3">
        <v>199</v>
      </c>
    </row>
    <row r="201" spans="1:12" x14ac:dyDescent="0.15">
      <c r="A201" s="1" t="s">
        <v>1341</v>
      </c>
      <c r="B201" s="1" t="s">
        <v>1342</v>
      </c>
      <c r="C201" s="1" t="s">
        <v>4278</v>
      </c>
      <c r="D201" s="1" t="s">
        <v>2945</v>
      </c>
      <c r="E201" s="1" t="s">
        <v>2951</v>
      </c>
      <c r="F201" s="3">
        <v>0</v>
      </c>
      <c r="G201" s="8" t="s">
        <v>2771</v>
      </c>
      <c r="H201" s="8" t="s">
        <v>5161</v>
      </c>
      <c r="I201" s="3">
        <v>31</v>
      </c>
      <c r="J201" s="3" t="s">
        <v>5299</v>
      </c>
      <c r="K201" s="17" t="str">
        <f>HYPERLINK("http://ictvonline.org/taxonomyHistory.asp?taxnode_id=20170214","ICTVonline=20170214")</f>
        <v>ICTVonline=20170214</v>
      </c>
      <c r="L201" s="3">
        <v>200</v>
      </c>
    </row>
    <row r="202" spans="1:12" x14ac:dyDescent="0.15">
      <c r="A202" s="1" t="s">
        <v>1341</v>
      </c>
      <c r="B202" s="1" t="s">
        <v>1342</v>
      </c>
      <c r="C202" s="1" t="s">
        <v>4278</v>
      </c>
      <c r="D202" s="1" t="s">
        <v>2945</v>
      </c>
      <c r="E202" s="1" t="s">
        <v>2952</v>
      </c>
      <c r="F202" s="3">
        <v>1</v>
      </c>
      <c r="G202" s="8" t="s">
        <v>2771</v>
      </c>
      <c r="H202" s="8" t="s">
        <v>5161</v>
      </c>
      <c r="I202" s="3">
        <v>31</v>
      </c>
      <c r="J202" s="3" t="s">
        <v>5299</v>
      </c>
      <c r="K202" s="17" t="str">
        <f>HYPERLINK("http://ictvonline.org/taxonomyHistory.asp?taxnode_id=20170215","ICTVonline=20170215")</f>
        <v>ICTVonline=20170215</v>
      </c>
      <c r="L202" s="3">
        <v>201</v>
      </c>
    </row>
    <row r="203" spans="1:12" x14ac:dyDescent="0.15">
      <c r="A203" s="1" t="s">
        <v>1341</v>
      </c>
      <c r="B203" s="1" t="s">
        <v>1342</v>
      </c>
      <c r="C203" s="1" t="s">
        <v>4278</v>
      </c>
      <c r="D203" s="1" t="s">
        <v>2945</v>
      </c>
      <c r="E203" s="1" t="s">
        <v>2953</v>
      </c>
      <c r="F203" s="3">
        <v>0</v>
      </c>
      <c r="G203" s="8" t="s">
        <v>2771</v>
      </c>
      <c r="H203" s="8" t="s">
        <v>5161</v>
      </c>
      <c r="I203" s="3">
        <v>31</v>
      </c>
      <c r="J203" s="3" t="s">
        <v>5299</v>
      </c>
      <c r="K203" s="17" t="str">
        <f>HYPERLINK("http://ictvonline.org/taxonomyHistory.asp?taxnode_id=20170216","ICTVonline=20170216")</f>
        <v>ICTVonline=20170216</v>
      </c>
      <c r="L203" s="3">
        <v>202</v>
      </c>
    </row>
    <row r="204" spans="1:12" x14ac:dyDescent="0.15">
      <c r="A204" s="1" t="s">
        <v>1341</v>
      </c>
      <c r="B204" s="1" t="s">
        <v>1342</v>
      </c>
      <c r="C204" s="1" t="s">
        <v>4278</v>
      </c>
      <c r="D204" s="1" t="s">
        <v>2945</v>
      </c>
      <c r="E204" s="1" t="s">
        <v>2954</v>
      </c>
      <c r="F204" s="3">
        <v>0</v>
      </c>
      <c r="G204" s="8" t="s">
        <v>2771</v>
      </c>
      <c r="H204" s="8" t="s">
        <v>5161</v>
      </c>
      <c r="I204" s="3">
        <v>31</v>
      </c>
      <c r="J204" s="3" t="s">
        <v>5299</v>
      </c>
      <c r="K204" s="17" t="str">
        <f>HYPERLINK("http://ictvonline.org/taxonomyHistory.asp?taxnode_id=20170217","ICTVonline=20170217")</f>
        <v>ICTVonline=20170217</v>
      </c>
      <c r="L204" s="3">
        <v>203</v>
      </c>
    </row>
    <row r="205" spans="1:12" x14ac:dyDescent="0.15">
      <c r="A205" s="1" t="s">
        <v>1341</v>
      </c>
      <c r="B205" s="1" t="s">
        <v>1342</v>
      </c>
      <c r="C205" s="1" t="s">
        <v>4278</v>
      </c>
      <c r="D205" s="1" t="s">
        <v>2945</v>
      </c>
      <c r="E205" s="1" t="s">
        <v>2955</v>
      </c>
      <c r="F205" s="3">
        <v>0</v>
      </c>
      <c r="G205" s="8" t="s">
        <v>2771</v>
      </c>
      <c r="H205" s="8" t="s">
        <v>5161</v>
      </c>
      <c r="I205" s="3">
        <v>31</v>
      </c>
      <c r="J205" s="3" t="s">
        <v>5299</v>
      </c>
      <c r="K205" s="17" t="str">
        <f>HYPERLINK("http://ictvonline.org/taxonomyHistory.asp?taxnode_id=20170218","ICTVonline=20170218")</f>
        <v>ICTVonline=20170218</v>
      </c>
      <c r="L205" s="3">
        <v>204</v>
      </c>
    </row>
    <row r="206" spans="1:12" x14ac:dyDescent="0.15">
      <c r="A206" s="1" t="s">
        <v>1341</v>
      </c>
      <c r="B206" s="1" t="s">
        <v>1342</v>
      </c>
      <c r="C206" s="1" t="s">
        <v>4278</v>
      </c>
      <c r="D206" s="1" t="s">
        <v>4371</v>
      </c>
      <c r="E206" s="1" t="s">
        <v>4372</v>
      </c>
      <c r="F206" s="3">
        <v>1</v>
      </c>
      <c r="G206" s="8" t="s">
        <v>2771</v>
      </c>
      <c r="H206" s="8" t="s">
        <v>5159</v>
      </c>
      <c r="I206" s="3">
        <v>31</v>
      </c>
      <c r="J206" s="3" t="s">
        <v>5299</v>
      </c>
      <c r="K206" s="17" t="str">
        <f>HYPERLINK("http://ictvonline.org/taxonomyHistory.asp?taxnode_id=20170220","ICTVonline=20170220")</f>
        <v>ICTVonline=20170220</v>
      </c>
      <c r="L206" s="3">
        <v>205</v>
      </c>
    </row>
    <row r="207" spans="1:12" x14ac:dyDescent="0.15">
      <c r="A207" s="1" t="s">
        <v>1341</v>
      </c>
      <c r="B207" s="1" t="s">
        <v>1342</v>
      </c>
      <c r="C207" s="1" t="s">
        <v>4278</v>
      </c>
      <c r="D207" s="1" t="s">
        <v>4371</v>
      </c>
      <c r="E207" s="1" t="s">
        <v>4373</v>
      </c>
      <c r="F207" s="3">
        <v>0</v>
      </c>
      <c r="G207" s="8" t="s">
        <v>2771</v>
      </c>
      <c r="H207" s="8" t="s">
        <v>5159</v>
      </c>
      <c r="I207" s="3">
        <v>31</v>
      </c>
      <c r="J207" s="3" t="s">
        <v>5299</v>
      </c>
      <c r="K207" s="17" t="str">
        <f>HYPERLINK("http://ictvonline.org/taxonomyHistory.asp?taxnode_id=20170221","ICTVonline=20170221")</f>
        <v>ICTVonline=20170221</v>
      </c>
      <c r="L207" s="3">
        <v>206</v>
      </c>
    </row>
    <row r="208" spans="1:12" x14ac:dyDescent="0.15">
      <c r="A208" s="1" t="s">
        <v>1341</v>
      </c>
      <c r="B208" s="1" t="s">
        <v>1342</v>
      </c>
      <c r="C208" s="1" t="s">
        <v>4278</v>
      </c>
      <c r="D208" s="1" t="s">
        <v>4374</v>
      </c>
      <c r="E208" s="1" t="s">
        <v>4375</v>
      </c>
      <c r="F208" s="3">
        <v>1</v>
      </c>
      <c r="G208" s="8" t="s">
        <v>2771</v>
      </c>
      <c r="H208" s="8" t="s">
        <v>5159</v>
      </c>
      <c r="I208" s="3">
        <v>31</v>
      </c>
      <c r="J208" s="3" t="s">
        <v>5299</v>
      </c>
      <c r="K208" s="17" t="str">
        <f>HYPERLINK("http://ictvonline.org/taxonomyHistory.asp?taxnode_id=20170223","ICTVonline=20170223")</f>
        <v>ICTVonline=20170223</v>
      </c>
      <c r="L208" s="3">
        <v>207</v>
      </c>
    </row>
    <row r="209" spans="1:12" x14ac:dyDescent="0.15">
      <c r="A209" s="1" t="s">
        <v>1341</v>
      </c>
      <c r="B209" s="1" t="s">
        <v>1342</v>
      </c>
      <c r="C209" s="1" t="s">
        <v>4278</v>
      </c>
      <c r="D209" s="1" t="s">
        <v>4374</v>
      </c>
      <c r="E209" s="1" t="s">
        <v>4376</v>
      </c>
      <c r="F209" s="3">
        <v>0</v>
      </c>
      <c r="G209" s="8" t="s">
        <v>2771</v>
      </c>
      <c r="H209" s="8" t="s">
        <v>5159</v>
      </c>
      <c r="I209" s="3">
        <v>31</v>
      </c>
      <c r="J209" s="3" t="s">
        <v>5299</v>
      </c>
      <c r="K209" s="17" t="str">
        <f>HYPERLINK("http://ictvonline.org/taxonomyHistory.asp?taxnode_id=20170224","ICTVonline=20170224")</f>
        <v>ICTVonline=20170224</v>
      </c>
      <c r="L209" s="3">
        <v>208</v>
      </c>
    </row>
    <row r="210" spans="1:12" x14ac:dyDescent="0.15">
      <c r="A210" s="1" t="s">
        <v>1341</v>
      </c>
      <c r="B210" s="1" t="s">
        <v>1342</v>
      </c>
      <c r="C210" s="1" t="s">
        <v>1350</v>
      </c>
      <c r="D210" s="1" t="s">
        <v>2793</v>
      </c>
      <c r="E210" s="1" t="s">
        <v>2794</v>
      </c>
      <c r="F210" s="3">
        <v>0</v>
      </c>
      <c r="G210" s="8" t="s">
        <v>2771</v>
      </c>
      <c r="H210" s="8" t="s">
        <v>5160</v>
      </c>
      <c r="I210" s="3">
        <v>30</v>
      </c>
      <c r="J210" s="3" t="s">
        <v>5297</v>
      </c>
      <c r="K210" s="17" t="str">
        <f>HYPERLINK("http://ictvonline.org/taxonomyHistory.asp?taxnode_id=20170227","ICTVonline=20170227")</f>
        <v>ICTVonline=20170227</v>
      </c>
      <c r="L210" s="3">
        <v>209</v>
      </c>
    </row>
    <row r="211" spans="1:12" x14ac:dyDescent="0.15">
      <c r="A211" s="1" t="s">
        <v>1341</v>
      </c>
      <c r="B211" s="1" t="s">
        <v>1342</v>
      </c>
      <c r="C211" s="1" t="s">
        <v>1350</v>
      </c>
      <c r="D211" s="1" t="s">
        <v>2793</v>
      </c>
      <c r="E211" s="1" t="s">
        <v>2795</v>
      </c>
      <c r="F211" s="3">
        <v>1</v>
      </c>
      <c r="G211" s="8" t="s">
        <v>2771</v>
      </c>
      <c r="H211" s="8" t="s">
        <v>5160</v>
      </c>
      <c r="I211" s="3">
        <v>30</v>
      </c>
      <c r="J211" s="3" t="s">
        <v>5297</v>
      </c>
      <c r="K211" s="17" t="str">
        <f>HYPERLINK("http://ictvonline.org/taxonomyHistory.asp?taxnode_id=20170228","ICTVonline=20170228")</f>
        <v>ICTVonline=20170228</v>
      </c>
      <c r="L211" s="3">
        <v>210</v>
      </c>
    </row>
    <row r="212" spans="1:12" x14ac:dyDescent="0.15">
      <c r="A212" s="1" t="s">
        <v>1341</v>
      </c>
      <c r="B212" s="1" t="s">
        <v>1342</v>
      </c>
      <c r="C212" s="1" t="s">
        <v>1350</v>
      </c>
      <c r="D212" s="1" t="s">
        <v>2793</v>
      </c>
      <c r="E212" s="1" t="s">
        <v>2796</v>
      </c>
      <c r="F212" s="3">
        <v>0</v>
      </c>
      <c r="G212" s="8" t="s">
        <v>2771</v>
      </c>
      <c r="H212" s="8" t="s">
        <v>5160</v>
      </c>
      <c r="I212" s="3">
        <v>30</v>
      </c>
      <c r="J212" s="3" t="s">
        <v>5297</v>
      </c>
      <c r="K212" s="17" t="str">
        <f>HYPERLINK("http://ictvonline.org/taxonomyHistory.asp?taxnode_id=20170229","ICTVonline=20170229")</f>
        <v>ICTVonline=20170229</v>
      </c>
      <c r="L212" s="3">
        <v>211</v>
      </c>
    </row>
    <row r="213" spans="1:12" x14ac:dyDescent="0.15">
      <c r="A213" s="1" t="s">
        <v>1341</v>
      </c>
      <c r="B213" s="1" t="s">
        <v>1342</v>
      </c>
      <c r="C213" s="1" t="s">
        <v>1350</v>
      </c>
      <c r="D213" s="1" t="s">
        <v>2793</v>
      </c>
      <c r="E213" s="1" t="s">
        <v>2797</v>
      </c>
      <c r="F213" s="3">
        <v>0</v>
      </c>
      <c r="G213" s="8" t="s">
        <v>2771</v>
      </c>
      <c r="H213" s="8" t="s">
        <v>5160</v>
      </c>
      <c r="I213" s="3">
        <v>30</v>
      </c>
      <c r="J213" s="3" t="s">
        <v>5297</v>
      </c>
      <c r="K213" s="17" t="str">
        <f>HYPERLINK("http://ictvonline.org/taxonomyHistory.asp?taxnode_id=20170230","ICTVonline=20170230")</f>
        <v>ICTVonline=20170230</v>
      </c>
      <c r="L213" s="3">
        <v>212</v>
      </c>
    </row>
    <row r="214" spans="1:12" x14ac:dyDescent="0.15">
      <c r="A214" s="1" t="s">
        <v>1341</v>
      </c>
      <c r="B214" s="1" t="s">
        <v>1342</v>
      </c>
      <c r="C214" s="1" t="s">
        <v>1350</v>
      </c>
      <c r="D214" s="1" t="s">
        <v>2793</v>
      </c>
      <c r="E214" s="1" t="s">
        <v>2798</v>
      </c>
      <c r="F214" s="3">
        <v>0</v>
      </c>
      <c r="G214" s="8" t="s">
        <v>2771</v>
      </c>
      <c r="H214" s="8" t="s">
        <v>5160</v>
      </c>
      <c r="I214" s="3">
        <v>30</v>
      </c>
      <c r="J214" s="3" t="s">
        <v>5297</v>
      </c>
      <c r="K214" s="17" t="str">
        <f>HYPERLINK("http://ictvonline.org/taxonomyHistory.asp?taxnode_id=20170231","ICTVonline=20170231")</f>
        <v>ICTVonline=20170231</v>
      </c>
      <c r="L214" s="3">
        <v>213</v>
      </c>
    </row>
    <row r="215" spans="1:12" x14ac:dyDescent="0.15">
      <c r="A215" s="1" t="s">
        <v>1341</v>
      </c>
      <c r="B215" s="1" t="s">
        <v>1342</v>
      </c>
      <c r="C215" s="1" t="s">
        <v>1350</v>
      </c>
      <c r="D215" s="1" t="s">
        <v>2793</v>
      </c>
      <c r="E215" s="1" t="s">
        <v>2799</v>
      </c>
      <c r="F215" s="3">
        <v>0</v>
      </c>
      <c r="G215" s="8" t="s">
        <v>2771</v>
      </c>
      <c r="H215" s="8" t="s">
        <v>5160</v>
      </c>
      <c r="I215" s="3">
        <v>30</v>
      </c>
      <c r="J215" s="3" t="s">
        <v>5297</v>
      </c>
      <c r="K215" s="17" t="str">
        <f>HYPERLINK("http://ictvonline.org/taxonomyHistory.asp?taxnode_id=20170232","ICTVonline=20170232")</f>
        <v>ICTVonline=20170232</v>
      </c>
      <c r="L215" s="3">
        <v>214</v>
      </c>
    </row>
    <row r="216" spans="1:12" x14ac:dyDescent="0.15">
      <c r="A216" s="1" t="s">
        <v>1341</v>
      </c>
      <c r="B216" s="1" t="s">
        <v>1342</v>
      </c>
      <c r="C216" s="1" t="s">
        <v>1350</v>
      </c>
      <c r="D216" s="1" t="s">
        <v>2800</v>
      </c>
      <c r="E216" s="1" t="s">
        <v>2801</v>
      </c>
      <c r="F216" s="3">
        <v>0</v>
      </c>
      <c r="G216" s="8" t="s">
        <v>2771</v>
      </c>
      <c r="H216" s="8" t="s">
        <v>5160</v>
      </c>
      <c r="I216" s="3">
        <v>30</v>
      </c>
      <c r="J216" s="3" t="s">
        <v>5297</v>
      </c>
      <c r="K216" s="17" t="str">
        <f>HYPERLINK("http://ictvonline.org/taxonomyHistory.asp?taxnode_id=20170234","ICTVonline=20170234")</f>
        <v>ICTVonline=20170234</v>
      </c>
      <c r="L216" s="3">
        <v>215</v>
      </c>
    </row>
    <row r="217" spans="1:12" x14ac:dyDescent="0.15">
      <c r="A217" s="1" t="s">
        <v>1341</v>
      </c>
      <c r="B217" s="1" t="s">
        <v>1342</v>
      </c>
      <c r="C217" s="1" t="s">
        <v>1350</v>
      </c>
      <c r="D217" s="1" t="s">
        <v>2800</v>
      </c>
      <c r="E217" s="1" t="s">
        <v>2802</v>
      </c>
      <c r="F217" s="3">
        <v>0</v>
      </c>
      <c r="G217" s="8" t="s">
        <v>2771</v>
      </c>
      <c r="H217" s="8" t="s">
        <v>5160</v>
      </c>
      <c r="I217" s="3">
        <v>30</v>
      </c>
      <c r="J217" s="3" t="s">
        <v>5297</v>
      </c>
      <c r="K217" s="17" t="str">
        <f>HYPERLINK("http://ictvonline.org/taxonomyHistory.asp?taxnode_id=20170235","ICTVonline=20170235")</f>
        <v>ICTVonline=20170235</v>
      </c>
      <c r="L217" s="3">
        <v>216</v>
      </c>
    </row>
    <row r="218" spans="1:12" x14ac:dyDescent="0.15">
      <c r="A218" s="1" t="s">
        <v>1341</v>
      </c>
      <c r="B218" s="1" t="s">
        <v>1342</v>
      </c>
      <c r="C218" s="1" t="s">
        <v>1350</v>
      </c>
      <c r="D218" s="1" t="s">
        <v>2800</v>
      </c>
      <c r="E218" s="1" t="s">
        <v>2803</v>
      </c>
      <c r="F218" s="3">
        <v>0</v>
      </c>
      <c r="G218" s="8" t="s">
        <v>2771</v>
      </c>
      <c r="H218" s="8" t="s">
        <v>5160</v>
      </c>
      <c r="I218" s="3">
        <v>30</v>
      </c>
      <c r="J218" s="3" t="s">
        <v>5297</v>
      </c>
      <c r="K218" s="17" t="str">
        <f>HYPERLINK("http://ictvonline.org/taxonomyHistory.asp?taxnode_id=20170236","ICTVonline=20170236")</f>
        <v>ICTVonline=20170236</v>
      </c>
      <c r="L218" s="3">
        <v>217</v>
      </c>
    </row>
    <row r="219" spans="1:12" x14ac:dyDescent="0.15">
      <c r="A219" s="1" t="s">
        <v>1341</v>
      </c>
      <c r="B219" s="1" t="s">
        <v>1342</v>
      </c>
      <c r="C219" s="1" t="s">
        <v>1350</v>
      </c>
      <c r="D219" s="1" t="s">
        <v>2800</v>
      </c>
      <c r="E219" s="1" t="s">
        <v>2804</v>
      </c>
      <c r="F219" s="3">
        <v>0</v>
      </c>
      <c r="G219" s="8" t="s">
        <v>2771</v>
      </c>
      <c r="H219" s="8" t="s">
        <v>5160</v>
      </c>
      <c r="I219" s="3">
        <v>30</v>
      </c>
      <c r="J219" s="3" t="s">
        <v>5297</v>
      </c>
      <c r="K219" s="17" t="str">
        <f>HYPERLINK("http://ictvonline.org/taxonomyHistory.asp?taxnode_id=20170237","ICTVonline=20170237")</f>
        <v>ICTVonline=20170237</v>
      </c>
      <c r="L219" s="3">
        <v>218</v>
      </c>
    </row>
    <row r="220" spans="1:12" x14ac:dyDescent="0.15">
      <c r="A220" s="1" t="s">
        <v>1341</v>
      </c>
      <c r="B220" s="1" t="s">
        <v>1342</v>
      </c>
      <c r="C220" s="1" t="s">
        <v>1350</v>
      </c>
      <c r="D220" s="1" t="s">
        <v>2800</v>
      </c>
      <c r="E220" s="1" t="s">
        <v>2805</v>
      </c>
      <c r="F220" s="3">
        <v>1</v>
      </c>
      <c r="G220" s="8" t="s">
        <v>2771</v>
      </c>
      <c r="H220" s="8" t="s">
        <v>5160</v>
      </c>
      <c r="I220" s="3">
        <v>30</v>
      </c>
      <c r="J220" s="3" t="s">
        <v>5297</v>
      </c>
      <c r="K220" s="17" t="str">
        <f>HYPERLINK("http://ictvonline.org/taxonomyHistory.asp?taxnode_id=20170238","ICTVonline=20170238")</f>
        <v>ICTVonline=20170238</v>
      </c>
      <c r="L220" s="3">
        <v>219</v>
      </c>
    </row>
    <row r="221" spans="1:12" x14ac:dyDescent="0.15">
      <c r="A221" s="1" t="s">
        <v>1341</v>
      </c>
      <c r="B221" s="1" t="s">
        <v>1342</v>
      </c>
      <c r="C221" s="1" t="s">
        <v>1350</v>
      </c>
      <c r="D221" s="1" t="s">
        <v>2800</v>
      </c>
      <c r="E221" s="1" t="s">
        <v>2806</v>
      </c>
      <c r="F221" s="3">
        <v>0</v>
      </c>
      <c r="G221" s="8" t="s">
        <v>2771</v>
      </c>
      <c r="H221" s="8" t="s">
        <v>5160</v>
      </c>
      <c r="I221" s="3">
        <v>30</v>
      </c>
      <c r="J221" s="3" t="s">
        <v>5297</v>
      </c>
      <c r="K221" s="17" t="str">
        <f>HYPERLINK("http://ictvonline.org/taxonomyHistory.asp?taxnode_id=20170239","ICTVonline=20170239")</f>
        <v>ICTVonline=20170239</v>
      </c>
      <c r="L221" s="3">
        <v>220</v>
      </c>
    </row>
    <row r="222" spans="1:12" x14ac:dyDescent="0.15">
      <c r="A222" s="1" t="s">
        <v>1341</v>
      </c>
      <c r="B222" s="1" t="s">
        <v>1342</v>
      </c>
      <c r="C222" s="1" t="s">
        <v>1350</v>
      </c>
      <c r="D222" s="1" t="s">
        <v>2800</v>
      </c>
      <c r="E222" s="1" t="s">
        <v>5174</v>
      </c>
      <c r="F222" s="3">
        <v>0</v>
      </c>
      <c r="G222" s="8" t="s">
        <v>2771</v>
      </c>
      <c r="H222" s="8" t="s">
        <v>5162</v>
      </c>
      <c r="I222" s="3">
        <v>31</v>
      </c>
      <c r="J222" s="3" t="s">
        <v>5300</v>
      </c>
      <c r="K222" s="17" t="str">
        <f>HYPERLINK("http://ictvonline.org/taxonomyHistory.asp?taxnode_id=20170240","ICTVonline=20170240")</f>
        <v>ICTVonline=20170240</v>
      </c>
      <c r="L222" s="3">
        <v>221</v>
      </c>
    </row>
    <row r="223" spans="1:12" x14ac:dyDescent="0.15">
      <c r="A223" s="1" t="s">
        <v>1341</v>
      </c>
      <c r="B223" s="1" t="s">
        <v>1342</v>
      </c>
      <c r="C223" s="1" t="s">
        <v>1350</v>
      </c>
      <c r="D223" s="1" t="s">
        <v>2800</v>
      </c>
      <c r="E223" s="1" t="s">
        <v>2807</v>
      </c>
      <c r="F223" s="3">
        <v>0</v>
      </c>
      <c r="G223" s="8" t="s">
        <v>2771</v>
      </c>
      <c r="H223" s="8" t="s">
        <v>5160</v>
      </c>
      <c r="I223" s="3">
        <v>30</v>
      </c>
      <c r="J223" s="3" t="s">
        <v>5297</v>
      </c>
      <c r="K223" s="17" t="str">
        <f>HYPERLINK("http://ictvonline.org/taxonomyHistory.asp?taxnode_id=20170241","ICTVonline=20170241")</f>
        <v>ICTVonline=20170241</v>
      </c>
      <c r="L223" s="3">
        <v>222</v>
      </c>
    </row>
    <row r="224" spans="1:12" x14ac:dyDescent="0.15">
      <c r="A224" s="1" t="s">
        <v>1341</v>
      </c>
      <c r="B224" s="1" t="s">
        <v>1342</v>
      </c>
      <c r="C224" s="1" t="s">
        <v>1350</v>
      </c>
      <c r="D224" s="1" t="s">
        <v>2800</v>
      </c>
      <c r="E224" s="1" t="s">
        <v>2808</v>
      </c>
      <c r="F224" s="3">
        <v>0</v>
      </c>
      <c r="G224" s="8" t="s">
        <v>2771</v>
      </c>
      <c r="H224" s="8" t="s">
        <v>5160</v>
      </c>
      <c r="I224" s="3">
        <v>30</v>
      </c>
      <c r="J224" s="3" t="s">
        <v>5297</v>
      </c>
      <c r="K224" s="17" t="str">
        <f>HYPERLINK("http://ictvonline.org/taxonomyHistory.asp?taxnode_id=20170242","ICTVonline=20170242")</f>
        <v>ICTVonline=20170242</v>
      </c>
      <c r="L224" s="3">
        <v>223</v>
      </c>
    </row>
    <row r="225" spans="1:12" x14ac:dyDescent="0.15">
      <c r="A225" s="1" t="s">
        <v>1341</v>
      </c>
      <c r="B225" s="1" t="s">
        <v>1342</v>
      </c>
      <c r="C225" s="1" t="s">
        <v>1350</v>
      </c>
      <c r="D225" s="1" t="s">
        <v>2800</v>
      </c>
      <c r="E225" s="1" t="s">
        <v>2809</v>
      </c>
      <c r="F225" s="3">
        <v>0</v>
      </c>
      <c r="G225" s="8" t="s">
        <v>2771</v>
      </c>
      <c r="H225" s="8" t="s">
        <v>5160</v>
      </c>
      <c r="I225" s="3">
        <v>30</v>
      </c>
      <c r="J225" s="3" t="s">
        <v>5297</v>
      </c>
      <c r="K225" s="17" t="str">
        <f>HYPERLINK("http://ictvonline.org/taxonomyHistory.asp?taxnode_id=20170243","ICTVonline=20170243")</f>
        <v>ICTVonline=20170243</v>
      </c>
      <c r="L225" s="3">
        <v>224</v>
      </c>
    </row>
    <row r="226" spans="1:12" x14ac:dyDescent="0.15">
      <c r="A226" s="1" t="s">
        <v>1341</v>
      </c>
      <c r="B226" s="1" t="s">
        <v>1342</v>
      </c>
      <c r="C226" s="1" t="s">
        <v>1350</v>
      </c>
      <c r="D226" s="1" t="s">
        <v>2800</v>
      </c>
      <c r="E226" s="1" t="s">
        <v>2810</v>
      </c>
      <c r="F226" s="3">
        <v>0</v>
      </c>
      <c r="G226" s="8" t="s">
        <v>2771</v>
      </c>
      <c r="H226" s="8" t="s">
        <v>5160</v>
      </c>
      <c r="I226" s="3">
        <v>30</v>
      </c>
      <c r="J226" s="3" t="s">
        <v>5297</v>
      </c>
      <c r="K226" s="17" t="str">
        <f>HYPERLINK("http://ictvonline.org/taxonomyHistory.asp?taxnode_id=20170244","ICTVonline=20170244")</f>
        <v>ICTVonline=20170244</v>
      </c>
      <c r="L226" s="3">
        <v>225</v>
      </c>
    </row>
    <row r="227" spans="1:12" x14ac:dyDescent="0.15">
      <c r="A227" s="1" t="s">
        <v>1341</v>
      </c>
      <c r="B227" s="1" t="s">
        <v>1342</v>
      </c>
      <c r="C227" s="1" t="s">
        <v>1350</v>
      </c>
      <c r="D227" s="1" t="s">
        <v>2800</v>
      </c>
      <c r="E227" s="1" t="s">
        <v>2811</v>
      </c>
      <c r="F227" s="3">
        <v>0</v>
      </c>
      <c r="G227" s="8" t="s">
        <v>2771</v>
      </c>
      <c r="H227" s="8" t="s">
        <v>5160</v>
      </c>
      <c r="I227" s="3">
        <v>30</v>
      </c>
      <c r="J227" s="3" t="s">
        <v>5297</v>
      </c>
      <c r="K227" s="17" t="str">
        <f>HYPERLINK("http://ictvonline.org/taxonomyHistory.asp?taxnode_id=20170245","ICTVonline=20170245")</f>
        <v>ICTVonline=20170245</v>
      </c>
      <c r="L227" s="3">
        <v>226</v>
      </c>
    </row>
    <row r="228" spans="1:12" x14ac:dyDescent="0.15">
      <c r="A228" s="1" t="s">
        <v>1341</v>
      </c>
      <c r="B228" s="1" t="s">
        <v>1342</v>
      </c>
      <c r="C228" s="1" t="s">
        <v>1350</v>
      </c>
      <c r="D228" s="1" t="s">
        <v>2800</v>
      </c>
      <c r="E228" s="1" t="s">
        <v>2812</v>
      </c>
      <c r="F228" s="3">
        <v>0</v>
      </c>
      <c r="G228" s="8" t="s">
        <v>2771</v>
      </c>
      <c r="H228" s="8" t="s">
        <v>5160</v>
      </c>
      <c r="I228" s="3">
        <v>30</v>
      </c>
      <c r="J228" s="3" t="s">
        <v>5297</v>
      </c>
      <c r="K228" s="17" t="str">
        <f>HYPERLINK("http://ictvonline.org/taxonomyHistory.asp?taxnode_id=20170246","ICTVonline=20170246")</f>
        <v>ICTVonline=20170246</v>
      </c>
      <c r="L228" s="3">
        <v>227</v>
      </c>
    </row>
    <row r="229" spans="1:12" x14ac:dyDescent="0.15">
      <c r="A229" s="1" t="s">
        <v>1341</v>
      </c>
      <c r="B229" s="1" t="s">
        <v>1342</v>
      </c>
      <c r="C229" s="1" t="s">
        <v>1351</v>
      </c>
      <c r="D229" s="1" t="s">
        <v>2813</v>
      </c>
      <c r="E229" s="1" t="s">
        <v>2814</v>
      </c>
      <c r="F229" s="3">
        <v>0</v>
      </c>
      <c r="G229" s="8" t="s">
        <v>2771</v>
      </c>
      <c r="H229" s="8" t="s">
        <v>5160</v>
      </c>
      <c r="I229" s="3">
        <v>30</v>
      </c>
      <c r="J229" s="3" t="s">
        <v>5301</v>
      </c>
      <c r="K229" s="17" t="str">
        <f>HYPERLINK("http://ictvonline.org/taxonomyHistory.asp?taxnode_id=20170249","ICTVonline=20170249")</f>
        <v>ICTVonline=20170249</v>
      </c>
      <c r="L229" s="3">
        <v>228</v>
      </c>
    </row>
    <row r="230" spans="1:12" x14ac:dyDescent="0.15">
      <c r="A230" s="1" t="s">
        <v>1341</v>
      </c>
      <c r="B230" s="1" t="s">
        <v>1342</v>
      </c>
      <c r="C230" s="1" t="s">
        <v>1351</v>
      </c>
      <c r="D230" s="1" t="s">
        <v>2813</v>
      </c>
      <c r="E230" s="1" t="s">
        <v>2815</v>
      </c>
      <c r="F230" s="3">
        <v>0</v>
      </c>
      <c r="G230" s="8" t="s">
        <v>2771</v>
      </c>
      <c r="H230" s="8" t="s">
        <v>5159</v>
      </c>
      <c r="I230" s="3">
        <v>30</v>
      </c>
      <c r="J230" s="3" t="s">
        <v>5301</v>
      </c>
      <c r="K230" s="17" t="str">
        <f>HYPERLINK("http://ictvonline.org/taxonomyHistory.asp?taxnode_id=20170250","ICTVonline=20170250")</f>
        <v>ICTVonline=20170250</v>
      </c>
      <c r="L230" s="3">
        <v>229</v>
      </c>
    </row>
    <row r="231" spans="1:12" x14ac:dyDescent="0.15">
      <c r="A231" s="1" t="s">
        <v>1341</v>
      </c>
      <c r="B231" s="1" t="s">
        <v>1342</v>
      </c>
      <c r="C231" s="1" t="s">
        <v>1351</v>
      </c>
      <c r="D231" s="1" t="s">
        <v>2813</v>
      </c>
      <c r="E231" s="1" t="s">
        <v>2816</v>
      </c>
      <c r="F231" s="3">
        <v>0</v>
      </c>
      <c r="G231" s="8" t="s">
        <v>2771</v>
      </c>
      <c r="H231" s="8" t="s">
        <v>5159</v>
      </c>
      <c r="I231" s="3">
        <v>30</v>
      </c>
      <c r="J231" s="3" t="s">
        <v>5301</v>
      </c>
      <c r="K231" s="17" t="str">
        <f>HYPERLINK("http://ictvonline.org/taxonomyHistory.asp?taxnode_id=20170251","ICTVonline=20170251")</f>
        <v>ICTVonline=20170251</v>
      </c>
      <c r="L231" s="3">
        <v>230</v>
      </c>
    </row>
    <row r="232" spans="1:12" x14ac:dyDescent="0.15">
      <c r="A232" s="1" t="s">
        <v>1341</v>
      </c>
      <c r="B232" s="1" t="s">
        <v>1342</v>
      </c>
      <c r="C232" s="1" t="s">
        <v>1351</v>
      </c>
      <c r="D232" s="1" t="s">
        <v>2813</v>
      </c>
      <c r="E232" s="1" t="s">
        <v>2817</v>
      </c>
      <c r="F232" s="3">
        <v>1</v>
      </c>
      <c r="G232" s="8" t="s">
        <v>2771</v>
      </c>
      <c r="H232" s="8" t="s">
        <v>5160</v>
      </c>
      <c r="I232" s="3">
        <v>30</v>
      </c>
      <c r="J232" s="3" t="s">
        <v>5301</v>
      </c>
      <c r="K232" s="17" t="str">
        <f>HYPERLINK("http://ictvonline.org/taxonomyHistory.asp?taxnode_id=20170252","ICTVonline=20170252")</f>
        <v>ICTVonline=20170252</v>
      </c>
      <c r="L232" s="3">
        <v>231</v>
      </c>
    </row>
    <row r="233" spans="1:12" x14ac:dyDescent="0.15">
      <c r="A233" s="1" t="s">
        <v>1341</v>
      </c>
      <c r="B233" s="1" t="s">
        <v>1342</v>
      </c>
      <c r="C233" s="1" t="s">
        <v>1351</v>
      </c>
      <c r="D233" s="1" t="s">
        <v>2813</v>
      </c>
      <c r="E233" s="1" t="s">
        <v>2818</v>
      </c>
      <c r="F233" s="3">
        <v>0</v>
      </c>
      <c r="G233" s="8" t="s">
        <v>2771</v>
      </c>
      <c r="H233" s="8" t="s">
        <v>5159</v>
      </c>
      <c r="I233" s="3">
        <v>30</v>
      </c>
      <c r="J233" s="3" t="s">
        <v>5301</v>
      </c>
      <c r="K233" s="17" t="str">
        <f>HYPERLINK("http://ictvonline.org/taxonomyHistory.asp?taxnode_id=20170253","ICTVonline=20170253")</f>
        <v>ICTVonline=20170253</v>
      </c>
      <c r="L233" s="3">
        <v>232</v>
      </c>
    </row>
    <row r="234" spans="1:12" x14ac:dyDescent="0.15">
      <c r="A234" s="1" t="s">
        <v>1341</v>
      </c>
      <c r="B234" s="1" t="s">
        <v>1342</v>
      </c>
      <c r="C234" s="1" t="s">
        <v>1351</v>
      </c>
      <c r="D234" s="1" t="s">
        <v>2813</v>
      </c>
      <c r="E234" s="1" t="s">
        <v>2819</v>
      </c>
      <c r="F234" s="3">
        <v>0</v>
      </c>
      <c r="G234" s="8" t="s">
        <v>2771</v>
      </c>
      <c r="H234" s="8" t="s">
        <v>5159</v>
      </c>
      <c r="I234" s="3">
        <v>30</v>
      </c>
      <c r="J234" s="3" t="s">
        <v>5301</v>
      </c>
      <c r="K234" s="17" t="str">
        <f>HYPERLINK("http://ictvonline.org/taxonomyHistory.asp?taxnode_id=20170254","ICTVonline=20170254")</f>
        <v>ICTVonline=20170254</v>
      </c>
      <c r="L234" s="3">
        <v>233</v>
      </c>
    </row>
    <row r="235" spans="1:12" x14ac:dyDescent="0.15">
      <c r="A235" s="1" t="s">
        <v>1341</v>
      </c>
      <c r="B235" s="1" t="s">
        <v>1342</v>
      </c>
      <c r="C235" s="1" t="s">
        <v>1351</v>
      </c>
      <c r="D235" s="1" t="s">
        <v>2813</v>
      </c>
      <c r="E235" s="1" t="s">
        <v>4377</v>
      </c>
      <c r="F235" s="3">
        <v>0</v>
      </c>
      <c r="G235" s="8" t="s">
        <v>2771</v>
      </c>
      <c r="H235" s="8" t="s">
        <v>5159</v>
      </c>
      <c r="I235" s="3">
        <v>31</v>
      </c>
      <c r="J235" s="3" t="s">
        <v>5298</v>
      </c>
      <c r="K235" s="17" t="str">
        <f>HYPERLINK("http://ictvonline.org/taxonomyHistory.asp?taxnode_id=20170255","ICTVonline=20170255")</f>
        <v>ICTVonline=20170255</v>
      </c>
      <c r="L235" s="3">
        <v>234</v>
      </c>
    </row>
    <row r="236" spans="1:12" x14ac:dyDescent="0.15">
      <c r="A236" s="1" t="s">
        <v>1341</v>
      </c>
      <c r="B236" s="1" t="s">
        <v>1342</v>
      </c>
      <c r="C236" s="1" t="s">
        <v>1351</v>
      </c>
      <c r="D236" s="1" t="s">
        <v>2813</v>
      </c>
      <c r="E236" s="1" t="s">
        <v>2820</v>
      </c>
      <c r="F236" s="3">
        <v>0</v>
      </c>
      <c r="G236" s="8" t="s">
        <v>2771</v>
      </c>
      <c r="H236" s="8" t="s">
        <v>5159</v>
      </c>
      <c r="I236" s="3">
        <v>30</v>
      </c>
      <c r="J236" s="3" t="s">
        <v>5301</v>
      </c>
      <c r="K236" s="17" t="str">
        <f>HYPERLINK("http://ictvonline.org/taxonomyHistory.asp?taxnode_id=20170256","ICTVonline=20170256")</f>
        <v>ICTVonline=20170256</v>
      </c>
      <c r="L236" s="3">
        <v>235</v>
      </c>
    </row>
    <row r="237" spans="1:12" x14ac:dyDescent="0.15">
      <c r="A237" s="1" t="s">
        <v>1341</v>
      </c>
      <c r="B237" s="1" t="s">
        <v>1342</v>
      </c>
      <c r="C237" s="1" t="s">
        <v>1351</v>
      </c>
      <c r="D237" s="1" t="s">
        <v>2813</v>
      </c>
      <c r="E237" s="1" t="s">
        <v>4378</v>
      </c>
      <c r="F237" s="3">
        <v>0</v>
      </c>
      <c r="G237" s="8" t="s">
        <v>2771</v>
      </c>
      <c r="H237" s="8" t="s">
        <v>5159</v>
      </c>
      <c r="I237" s="3">
        <v>31</v>
      </c>
      <c r="J237" s="3" t="s">
        <v>5298</v>
      </c>
      <c r="K237" s="17" t="str">
        <f>HYPERLINK("http://ictvonline.org/taxonomyHistory.asp?taxnode_id=20170257","ICTVonline=20170257")</f>
        <v>ICTVonline=20170257</v>
      </c>
      <c r="L237" s="3">
        <v>236</v>
      </c>
    </row>
    <row r="238" spans="1:12" x14ac:dyDescent="0.15">
      <c r="A238" s="1" t="s">
        <v>1341</v>
      </c>
      <c r="B238" s="1" t="s">
        <v>1342</v>
      </c>
      <c r="C238" s="1" t="s">
        <v>1351</v>
      </c>
      <c r="D238" s="1" t="s">
        <v>2813</v>
      </c>
      <c r="E238" s="1" t="s">
        <v>2821</v>
      </c>
      <c r="F238" s="3">
        <v>0</v>
      </c>
      <c r="G238" s="8" t="s">
        <v>2771</v>
      </c>
      <c r="H238" s="8" t="s">
        <v>5159</v>
      </c>
      <c r="I238" s="3">
        <v>30</v>
      </c>
      <c r="J238" s="3" t="s">
        <v>5301</v>
      </c>
      <c r="K238" s="17" t="str">
        <f>HYPERLINK("http://ictvonline.org/taxonomyHistory.asp?taxnode_id=20170258","ICTVonline=20170258")</f>
        <v>ICTVonline=20170258</v>
      </c>
      <c r="L238" s="3">
        <v>237</v>
      </c>
    </row>
    <row r="239" spans="1:12" x14ac:dyDescent="0.15">
      <c r="A239" s="1" t="s">
        <v>1341</v>
      </c>
      <c r="B239" s="1" t="s">
        <v>1342</v>
      </c>
      <c r="C239" s="1" t="s">
        <v>1351</v>
      </c>
      <c r="D239" s="1" t="s">
        <v>2822</v>
      </c>
      <c r="E239" s="1" t="s">
        <v>2823</v>
      </c>
      <c r="F239" s="3">
        <v>0</v>
      </c>
      <c r="G239" s="8" t="s">
        <v>2771</v>
      </c>
      <c r="H239" s="8" t="s">
        <v>5160</v>
      </c>
      <c r="I239" s="3">
        <v>30</v>
      </c>
      <c r="J239" s="3" t="s">
        <v>5302</v>
      </c>
      <c r="K239" s="17" t="str">
        <f>HYPERLINK("http://ictvonline.org/taxonomyHistory.asp?taxnode_id=20170260","ICTVonline=20170260")</f>
        <v>ICTVonline=20170260</v>
      </c>
      <c r="L239" s="3">
        <v>238</v>
      </c>
    </row>
    <row r="240" spans="1:12" x14ac:dyDescent="0.15">
      <c r="A240" s="1" t="s">
        <v>1341</v>
      </c>
      <c r="B240" s="1" t="s">
        <v>1342</v>
      </c>
      <c r="C240" s="1" t="s">
        <v>1351</v>
      </c>
      <c r="D240" s="1" t="s">
        <v>2822</v>
      </c>
      <c r="E240" s="1" t="s">
        <v>2824</v>
      </c>
      <c r="F240" s="3">
        <v>1</v>
      </c>
      <c r="G240" s="8" t="s">
        <v>2771</v>
      </c>
      <c r="H240" s="8" t="s">
        <v>5160</v>
      </c>
      <c r="I240" s="3">
        <v>30</v>
      </c>
      <c r="J240" s="3" t="s">
        <v>5302</v>
      </c>
      <c r="K240" s="17" t="str">
        <f>HYPERLINK("http://ictvonline.org/taxonomyHistory.asp?taxnode_id=20170261","ICTVonline=20170261")</f>
        <v>ICTVonline=20170261</v>
      </c>
      <c r="L240" s="3">
        <v>239</v>
      </c>
    </row>
    <row r="241" spans="1:12" x14ac:dyDescent="0.15">
      <c r="A241" s="1" t="s">
        <v>1341</v>
      </c>
      <c r="B241" s="1" t="s">
        <v>1342</v>
      </c>
      <c r="C241" s="1" t="s">
        <v>1351</v>
      </c>
      <c r="D241" s="1" t="s">
        <v>2825</v>
      </c>
      <c r="E241" s="1" t="s">
        <v>2826</v>
      </c>
      <c r="F241" s="3">
        <v>1</v>
      </c>
      <c r="G241" s="8" t="s">
        <v>2771</v>
      </c>
      <c r="H241" s="8" t="s">
        <v>5159</v>
      </c>
      <c r="I241" s="3">
        <v>30</v>
      </c>
      <c r="J241" s="3" t="s">
        <v>5303</v>
      </c>
      <c r="K241" s="17" t="str">
        <f>HYPERLINK("http://ictvonline.org/taxonomyHistory.asp?taxnode_id=20170263","ICTVonline=20170263")</f>
        <v>ICTVonline=20170263</v>
      </c>
      <c r="L241" s="3">
        <v>240</v>
      </c>
    </row>
    <row r="242" spans="1:12" x14ac:dyDescent="0.15">
      <c r="A242" s="1" t="s">
        <v>1341</v>
      </c>
      <c r="B242" s="1" t="s">
        <v>1342</v>
      </c>
      <c r="C242" s="1" t="s">
        <v>1351</v>
      </c>
      <c r="D242" s="1" t="s">
        <v>2825</v>
      </c>
      <c r="E242" s="1" t="s">
        <v>2827</v>
      </c>
      <c r="F242" s="3">
        <v>0</v>
      </c>
      <c r="G242" s="8" t="s">
        <v>2771</v>
      </c>
      <c r="H242" s="8" t="s">
        <v>5159</v>
      </c>
      <c r="I242" s="3">
        <v>30</v>
      </c>
      <c r="J242" s="3" t="s">
        <v>5303</v>
      </c>
      <c r="K242" s="17" t="str">
        <f>HYPERLINK("http://ictvonline.org/taxonomyHistory.asp?taxnode_id=20170264","ICTVonline=20170264")</f>
        <v>ICTVonline=20170264</v>
      </c>
      <c r="L242" s="3">
        <v>241</v>
      </c>
    </row>
    <row r="243" spans="1:12" x14ac:dyDescent="0.15">
      <c r="A243" s="1" t="s">
        <v>1341</v>
      </c>
      <c r="B243" s="1" t="s">
        <v>1342</v>
      </c>
      <c r="C243" s="1" t="s">
        <v>1351</v>
      </c>
      <c r="D243" s="1" t="s">
        <v>2825</v>
      </c>
      <c r="E243" s="1" t="s">
        <v>4379</v>
      </c>
      <c r="F243" s="3">
        <v>0</v>
      </c>
      <c r="G243" s="8" t="s">
        <v>2771</v>
      </c>
      <c r="H243" s="8" t="s">
        <v>5159</v>
      </c>
      <c r="I243" s="3">
        <v>31</v>
      </c>
      <c r="J243" s="3" t="s">
        <v>5298</v>
      </c>
      <c r="K243" s="17" t="str">
        <f>HYPERLINK("http://ictvonline.org/taxonomyHistory.asp?taxnode_id=20170265","ICTVonline=20170265")</f>
        <v>ICTVonline=20170265</v>
      </c>
      <c r="L243" s="3">
        <v>242</v>
      </c>
    </row>
    <row r="244" spans="1:12" x14ac:dyDescent="0.15">
      <c r="A244" s="1" t="s">
        <v>1341</v>
      </c>
      <c r="B244" s="1" t="s">
        <v>1342</v>
      </c>
      <c r="C244" s="1" t="s">
        <v>1351</v>
      </c>
      <c r="D244" s="1" t="s">
        <v>2828</v>
      </c>
      <c r="E244" s="1" t="s">
        <v>4380</v>
      </c>
      <c r="F244" s="3">
        <v>0</v>
      </c>
      <c r="G244" s="8" t="s">
        <v>2771</v>
      </c>
      <c r="H244" s="8" t="s">
        <v>5159</v>
      </c>
      <c r="I244" s="3">
        <v>31</v>
      </c>
      <c r="J244" s="3" t="s">
        <v>5298</v>
      </c>
      <c r="K244" s="17" t="str">
        <f>HYPERLINK("http://ictvonline.org/taxonomyHistory.asp?taxnode_id=20170267","ICTVonline=20170267")</f>
        <v>ICTVonline=20170267</v>
      </c>
      <c r="L244" s="3">
        <v>243</v>
      </c>
    </row>
    <row r="245" spans="1:12" x14ac:dyDescent="0.15">
      <c r="A245" s="1" t="s">
        <v>1341</v>
      </c>
      <c r="B245" s="1" t="s">
        <v>1342</v>
      </c>
      <c r="C245" s="1" t="s">
        <v>1351</v>
      </c>
      <c r="D245" s="1" t="s">
        <v>2828</v>
      </c>
      <c r="E245" s="1" t="s">
        <v>2829</v>
      </c>
      <c r="F245" s="3">
        <v>1</v>
      </c>
      <c r="G245" s="8" t="s">
        <v>2771</v>
      </c>
      <c r="H245" s="8" t="s">
        <v>5160</v>
      </c>
      <c r="I245" s="3">
        <v>30</v>
      </c>
      <c r="J245" s="3" t="s">
        <v>5297</v>
      </c>
      <c r="K245" s="17" t="str">
        <f>HYPERLINK("http://ictvonline.org/taxonomyHistory.asp?taxnode_id=20170268","ICTVonline=20170268")</f>
        <v>ICTVonline=20170268</v>
      </c>
      <c r="L245" s="3">
        <v>244</v>
      </c>
    </row>
    <row r="246" spans="1:12" x14ac:dyDescent="0.15">
      <c r="A246" s="1" t="s">
        <v>1341</v>
      </c>
      <c r="B246" s="1" t="s">
        <v>1342</v>
      </c>
      <c r="C246" s="1" t="s">
        <v>1351</v>
      </c>
      <c r="D246" s="1" t="s">
        <v>4381</v>
      </c>
      <c r="E246" s="1" t="s">
        <v>4382</v>
      </c>
      <c r="F246" s="3">
        <v>0</v>
      </c>
      <c r="G246" s="8" t="s">
        <v>2771</v>
      </c>
      <c r="H246" s="8" t="s">
        <v>5159</v>
      </c>
      <c r="I246" s="3">
        <v>31</v>
      </c>
      <c r="J246" s="3" t="s">
        <v>5304</v>
      </c>
      <c r="K246" s="17" t="str">
        <f>HYPERLINK("http://ictvonline.org/taxonomyHistory.asp?taxnode_id=20170270","ICTVonline=20170270")</f>
        <v>ICTVonline=20170270</v>
      </c>
      <c r="L246" s="3">
        <v>245</v>
      </c>
    </row>
    <row r="247" spans="1:12" x14ac:dyDescent="0.15">
      <c r="A247" s="1" t="s">
        <v>1341</v>
      </c>
      <c r="B247" s="1" t="s">
        <v>1342</v>
      </c>
      <c r="C247" s="1" t="s">
        <v>1351</v>
      </c>
      <c r="D247" s="1" t="s">
        <v>4381</v>
      </c>
      <c r="E247" s="1" t="s">
        <v>4383</v>
      </c>
      <c r="F247" s="3">
        <v>1</v>
      </c>
      <c r="G247" s="8" t="s">
        <v>2771</v>
      </c>
      <c r="H247" s="8" t="s">
        <v>5159</v>
      </c>
      <c r="I247" s="3">
        <v>31</v>
      </c>
      <c r="J247" s="3" t="s">
        <v>5304</v>
      </c>
      <c r="K247" s="17" t="str">
        <f>HYPERLINK("http://ictvonline.org/taxonomyHistory.asp?taxnode_id=20170271","ICTVonline=20170271")</f>
        <v>ICTVonline=20170271</v>
      </c>
      <c r="L247" s="3">
        <v>246</v>
      </c>
    </row>
    <row r="248" spans="1:12" x14ac:dyDescent="0.15">
      <c r="A248" s="1" t="s">
        <v>1341</v>
      </c>
      <c r="B248" s="1" t="s">
        <v>1342</v>
      </c>
      <c r="C248" s="1" t="s">
        <v>1351</v>
      </c>
      <c r="D248" s="1" t="s">
        <v>2830</v>
      </c>
      <c r="E248" s="1" t="s">
        <v>2831</v>
      </c>
      <c r="F248" s="3">
        <v>1</v>
      </c>
      <c r="G248" s="8" t="s">
        <v>2771</v>
      </c>
      <c r="H248" s="8" t="s">
        <v>5160</v>
      </c>
      <c r="I248" s="3">
        <v>30</v>
      </c>
      <c r="J248" s="3" t="s">
        <v>5297</v>
      </c>
      <c r="K248" s="17" t="str">
        <f>HYPERLINK("http://ictvonline.org/taxonomyHistory.asp?taxnode_id=20170273","ICTVonline=20170273")</f>
        <v>ICTVonline=20170273</v>
      </c>
      <c r="L248" s="3">
        <v>247</v>
      </c>
    </row>
    <row r="249" spans="1:12" x14ac:dyDescent="0.15">
      <c r="A249" s="1" t="s">
        <v>1341</v>
      </c>
      <c r="B249" s="1" t="s">
        <v>1342</v>
      </c>
      <c r="C249" s="1" t="s">
        <v>1351</v>
      </c>
      <c r="D249" s="1" t="s">
        <v>908</v>
      </c>
      <c r="E249" s="1" t="s">
        <v>2832</v>
      </c>
      <c r="F249" s="3">
        <v>0</v>
      </c>
      <c r="G249" s="8" t="s">
        <v>2771</v>
      </c>
      <c r="H249" s="8" t="s">
        <v>5162</v>
      </c>
      <c r="I249" s="3">
        <v>30</v>
      </c>
      <c r="J249" s="3" t="s">
        <v>5297</v>
      </c>
      <c r="K249" s="17" t="str">
        <f>HYPERLINK("http://ictvonline.org/taxonomyHistory.asp?taxnode_id=20170275","ICTVonline=20170275")</f>
        <v>ICTVonline=20170275</v>
      </c>
      <c r="L249" s="3">
        <v>248</v>
      </c>
    </row>
    <row r="250" spans="1:12" x14ac:dyDescent="0.15">
      <c r="A250" s="1" t="s">
        <v>1341</v>
      </c>
      <c r="B250" s="1" t="s">
        <v>1342</v>
      </c>
      <c r="C250" s="1" t="s">
        <v>1351</v>
      </c>
      <c r="D250" s="1" t="s">
        <v>908</v>
      </c>
      <c r="E250" s="1" t="s">
        <v>5175</v>
      </c>
      <c r="F250" s="3">
        <v>0</v>
      </c>
      <c r="G250" s="8" t="s">
        <v>2771</v>
      </c>
      <c r="H250" s="8" t="s">
        <v>5162</v>
      </c>
      <c r="I250" s="3">
        <v>31</v>
      </c>
      <c r="J250" s="3" t="s">
        <v>5300</v>
      </c>
      <c r="K250" s="17" t="str">
        <f>HYPERLINK("http://ictvonline.org/taxonomyHistory.asp?taxnode_id=20170276","ICTVonline=20170276")</f>
        <v>ICTVonline=20170276</v>
      </c>
      <c r="L250" s="3">
        <v>249</v>
      </c>
    </row>
    <row r="251" spans="1:12" x14ac:dyDescent="0.15">
      <c r="A251" s="1" t="s">
        <v>1341</v>
      </c>
      <c r="B251" s="1" t="s">
        <v>1342</v>
      </c>
      <c r="C251" s="1" t="s">
        <v>1351</v>
      </c>
      <c r="D251" s="1" t="s">
        <v>908</v>
      </c>
      <c r="E251" s="1" t="s">
        <v>2833</v>
      </c>
      <c r="F251" s="3">
        <v>0</v>
      </c>
      <c r="G251" s="8" t="s">
        <v>2771</v>
      </c>
      <c r="H251" s="8" t="s">
        <v>5162</v>
      </c>
      <c r="I251" s="3">
        <v>30</v>
      </c>
      <c r="J251" s="3" t="s">
        <v>5297</v>
      </c>
      <c r="K251" s="17" t="str">
        <f>HYPERLINK("http://ictvonline.org/taxonomyHistory.asp?taxnode_id=20170277","ICTVonline=20170277")</f>
        <v>ICTVonline=20170277</v>
      </c>
      <c r="L251" s="3">
        <v>250</v>
      </c>
    </row>
    <row r="252" spans="1:12" x14ac:dyDescent="0.15">
      <c r="A252" s="1" t="s">
        <v>1341</v>
      </c>
      <c r="B252" s="1" t="s">
        <v>1342</v>
      </c>
      <c r="C252" s="1" t="s">
        <v>1352</v>
      </c>
      <c r="D252" s="1" t="s">
        <v>2834</v>
      </c>
      <c r="E252" s="1" t="s">
        <v>2835</v>
      </c>
      <c r="F252" s="3">
        <v>0</v>
      </c>
      <c r="G252" s="8" t="s">
        <v>2771</v>
      </c>
      <c r="H252" s="8" t="s">
        <v>5159</v>
      </c>
      <c r="I252" s="3">
        <v>30</v>
      </c>
      <c r="J252" s="3" t="s">
        <v>5305</v>
      </c>
      <c r="K252" s="17" t="str">
        <f>HYPERLINK("http://ictvonline.org/taxonomyHistory.asp?taxnode_id=20170280","ICTVonline=20170280")</f>
        <v>ICTVonline=20170280</v>
      </c>
      <c r="L252" s="3">
        <v>251</v>
      </c>
    </row>
    <row r="253" spans="1:12" x14ac:dyDescent="0.15">
      <c r="A253" s="1" t="s">
        <v>1341</v>
      </c>
      <c r="B253" s="1" t="s">
        <v>1342</v>
      </c>
      <c r="C253" s="1" t="s">
        <v>1352</v>
      </c>
      <c r="D253" s="1" t="s">
        <v>2834</v>
      </c>
      <c r="E253" s="1" t="s">
        <v>5176</v>
      </c>
      <c r="F253" s="3">
        <v>1</v>
      </c>
      <c r="G253" s="8" t="s">
        <v>2771</v>
      </c>
      <c r="H253" s="8" t="s">
        <v>5162</v>
      </c>
      <c r="I253" s="3">
        <v>31</v>
      </c>
      <c r="J253" s="3" t="s">
        <v>5300</v>
      </c>
      <c r="K253" s="17" t="str">
        <f>HYPERLINK("http://ictvonline.org/taxonomyHistory.asp?taxnode_id=20170281","ICTVonline=20170281")</f>
        <v>ICTVonline=20170281</v>
      </c>
      <c r="L253" s="3">
        <v>252</v>
      </c>
    </row>
    <row r="254" spans="1:12" x14ac:dyDescent="0.15">
      <c r="A254" s="1" t="s">
        <v>1341</v>
      </c>
      <c r="B254" s="1" t="s">
        <v>1342</v>
      </c>
      <c r="C254" s="1" t="s">
        <v>1352</v>
      </c>
      <c r="D254" s="1" t="s">
        <v>4384</v>
      </c>
      <c r="E254" s="1" t="s">
        <v>4385</v>
      </c>
      <c r="F254" s="3">
        <v>1</v>
      </c>
      <c r="G254" s="8" t="s">
        <v>2771</v>
      </c>
      <c r="H254" s="8" t="s">
        <v>5159</v>
      </c>
      <c r="I254" s="3">
        <v>31</v>
      </c>
      <c r="J254" s="3" t="s">
        <v>5306</v>
      </c>
      <c r="K254" s="17" t="str">
        <f>HYPERLINK("http://ictvonline.org/taxonomyHistory.asp?taxnode_id=20170283","ICTVonline=20170283")</f>
        <v>ICTVonline=20170283</v>
      </c>
      <c r="L254" s="3">
        <v>253</v>
      </c>
    </row>
    <row r="255" spans="1:12" x14ac:dyDescent="0.15">
      <c r="A255" s="1" t="s">
        <v>1341</v>
      </c>
      <c r="B255" s="1" t="s">
        <v>1342</v>
      </c>
      <c r="C255" s="1" t="s">
        <v>1352</v>
      </c>
      <c r="D255" s="1" t="s">
        <v>4384</v>
      </c>
      <c r="E255" s="1" t="s">
        <v>4386</v>
      </c>
      <c r="F255" s="3">
        <v>0</v>
      </c>
      <c r="G255" s="8" t="s">
        <v>2771</v>
      </c>
      <c r="H255" s="8" t="s">
        <v>5159</v>
      </c>
      <c r="I255" s="3">
        <v>31</v>
      </c>
      <c r="J255" s="3" t="s">
        <v>5306</v>
      </c>
      <c r="K255" s="17" t="str">
        <f>HYPERLINK("http://ictvonline.org/taxonomyHistory.asp?taxnode_id=20170284","ICTVonline=20170284")</f>
        <v>ICTVonline=20170284</v>
      </c>
      <c r="L255" s="3">
        <v>254</v>
      </c>
    </row>
    <row r="256" spans="1:12" x14ac:dyDescent="0.15">
      <c r="A256" s="1" t="s">
        <v>1341</v>
      </c>
      <c r="B256" s="1" t="s">
        <v>1342</v>
      </c>
      <c r="C256" s="1" t="s">
        <v>1352</v>
      </c>
      <c r="D256" s="1" t="s">
        <v>2836</v>
      </c>
      <c r="E256" s="1" t="s">
        <v>2837</v>
      </c>
      <c r="F256" s="3">
        <v>0</v>
      </c>
      <c r="G256" s="8" t="s">
        <v>2771</v>
      </c>
      <c r="H256" s="8" t="s">
        <v>5159</v>
      </c>
      <c r="I256" s="3">
        <v>30</v>
      </c>
      <c r="J256" s="3" t="s">
        <v>5305</v>
      </c>
      <c r="K256" s="17" t="str">
        <f>HYPERLINK("http://ictvonline.org/taxonomyHistory.asp?taxnode_id=20170286","ICTVonline=20170286")</f>
        <v>ICTVonline=20170286</v>
      </c>
      <c r="L256" s="3">
        <v>255</v>
      </c>
    </row>
    <row r="257" spans="1:12" x14ac:dyDescent="0.15">
      <c r="A257" s="1" t="s">
        <v>1341</v>
      </c>
      <c r="B257" s="1" t="s">
        <v>1342</v>
      </c>
      <c r="C257" s="1" t="s">
        <v>1352</v>
      </c>
      <c r="D257" s="1" t="s">
        <v>2836</v>
      </c>
      <c r="E257" s="1" t="s">
        <v>2838</v>
      </c>
      <c r="F257" s="3">
        <v>0</v>
      </c>
      <c r="G257" s="8" t="s">
        <v>2771</v>
      </c>
      <c r="H257" s="8" t="s">
        <v>5159</v>
      </c>
      <c r="I257" s="3">
        <v>30</v>
      </c>
      <c r="J257" s="3" t="s">
        <v>5305</v>
      </c>
      <c r="K257" s="17" t="str">
        <f>HYPERLINK("http://ictvonline.org/taxonomyHistory.asp?taxnode_id=20170287","ICTVonline=20170287")</f>
        <v>ICTVonline=20170287</v>
      </c>
      <c r="L257" s="3">
        <v>256</v>
      </c>
    </row>
    <row r="258" spans="1:12" x14ac:dyDescent="0.15">
      <c r="A258" s="1" t="s">
        <v>1341</v>
      </c>
      <c r="B258" s="1" t="s">
        <v>1342</v>
      </c>
      <c r="C258" s="1" t="s">
        <v>1352</v>
      </c>
      <c r="D258" s="1" t="s">
        <v>2836</v>
      </c>
      <c r="E258" s="1" t="s">
        <v>2839</v>
      </c>
      <c r="F258" s="3">
        <v>0</v>
      </c>
      <c r="G258" s="8" t="s">
        <v>2771</v>
      </c>
      <c r="H258" s="8" t="s">
        <v>5159</v>
      </c>
      <c r="I258" s="3">
        <v>30</v>
      </c>
      <c r="J258" s="3" t="s">
        <v>5305</v>
      </c>
      <c r="K258" s="17" t="str">
        <f>HYPERLINK("http://ictvonline.org/taxonomyHistory.asp?taxnode_id=20170288","ICTVonline=20170288")</f>
        <v>ICTVonline=20170288</v>
      </c>
      <c r="L258" s="3">
        <v>257</v>
      </c>
    </row>
    <row r="259" spans="1:12" x14ac:dyDescent="0.15">
      <c r="A259" s="1" t="s">
        <v>1341</v>
      </c>
      <c r="B259" s="1" t="s">
        <v>1342</v>
      </c>
      <c r="C259" s="1" t="s">
        <v>1352</v>
      </c>
      <c r="D259" s="1" t="s">
        <v>2836</v>
      </c>
      <c r="E259" s="1" t="s">
        <v>2840</v>
      </c>
      <c r="F259" s="3">
        <v>1</v>
      </c>
      <c r="G259" s="8" t="s">
        <v>2771</v>
      </c>
      <c r="H259" s="8" t="s">
        <v>5160</v>
      </c>
      <c r="I259" s="3">
        <v>30</v>
      </c>
      <c r="J259" s="3" t="s">
        <v>5305</v>
      </c>
      <c r="K259" s="17" t="str">
        <f>HYPERLINK("http://ictvonline.org/taxonomyHistory.asp?taxnode_id=20170289","ICTVonline=20170289")</f>
        <v>ICTVonline=20170289</v>
      </c>
      <c r="L259" s="3">
        <v>258</v>
      </c>
    </row>
    <row r="260" spans="1:12" x14ac:dyDescent="0.15">
      <c r="A260" s="1" t="s">
        <v>1341</v>
      </c>
      <c r="B260" s="1" t="s">
        <v>1342</v>
      </c>
      <c r="C260" s="1" t="s">
        <v>1352</v>
      </c>
      <c r="D260" s="1" t="s">
        <v>2836</v>
      </c>
      <c r="E260" s="1" t="s">
        <v>4387</v>
      </c>
      <c r="F260" s="3">
        <v>0</v>
      </c>
      <c r="G260" s="8" t="s">
        <v>2771</v>
      </c>
      <c r="H260" s="8" t="s">
        <v>5159</v>
      </c>
      <c r="I260" s="3">
        <v>31</v>
      </c>
      <c r="J260" s="3" t="s">
        <v>5298</v>
      </c>
      <c r="K260" s="17" t="str">
        <f>HYPERLINK("http://ictvonline.org/taxonomyHistory.asp?taxnode_id=20170290","ICTVonline=20170290")</f>
        <v>ICTVonline=20170290</v>
      </c>
      <c r="L260" s="3">
        <v>259</v>
      </c>
    </row>
    <row r="261" spans="1:12" x14ac:dyDescent="0.15">
      <c r="A261" s="1" t="s">
        <v>1341</v>
      </c>
      <c r="B261" s="1" t="s">
        <v>1342</v>
      </c>
      <c r="C261" s="1" t="s">
        <v>1352</v>
      </c>
      <c r="D261" s="1" t="s">
        <v>2836</v>
      </c>
      <c r="E261" s="1" t="s">
        <v>2841</v>
      </c>
      <c r="F261" s="3">
        <v>0</v>
      </c>
      <c r="G261" s="8" t="s">
        <v>2771</v>
      </c>
      <c r="H261" s="8" t="s">
        <v>5159</v>
      </c>
      <c r="I261" s="3">
        <v>30</v>
      </c>
      <c r="J261" s="3" t="s">
        <v>5305</v>
      </c>
      <c r="K261" s="17" t="str">
        <f>HYPERLINK("http://ictvonline.org/taxonomyHistory.asp?taxnode_id=20170291","ICTVonline=20170291")</f>
        <v>ICTVonline=20170291</v>
      </c>
      <c r="L261" s="3">
        <v>260</v>
      </c>
    </row>
    <row r="262" spans="1:12" x14ac:dyDescent="0.15">
      <c r="A262" s="1" t="s">
        <v>1341</v>
      </c>
      <c r="B262" s="1" t="s">
        <v>1342</v>
      </c>
      <c r="C262" s="1" t="s">
        <v>1352</v>
      </c>
      <c r="D262" s="1" t="s">
        <v>4388</v>
      </c>
      <c r="E262" s="1" t="s">
        <v>4389</v>
      </c>
      <c r="F262" s="3">
        <v>0</v>
      </c>
      <c r="G262" s="8" t="s">
        <v>2771</v>
      </c>
      <c r="H262" s="8" t="s">
        <v>5159</v>
      </c>
      <c r="I262" s="3">
        <v>31</v>
      </c>
      <c r="J262" s="3" t="s">
        <v>5307</v>
      </c>
      <c r="K262" s="17" t="str">
        <f>HYPERLINK("http://ictvonline.org/taxonomyHistory.asp?taxnode_id=20170293","ICTVonline=20170293")</f>
        <v>ICTVonline=20170293</v>
      </c>
      <c r="L262" s="3">
        <v>261</v>
      </c>
    </row>
    <row r="263" spans="1:12" x14ac:dyDescent="0.15">
      <c r="A263" s="1" t="s">
        <v>1341</v>
      </c>
      <c r="B263" s="1" t="s">
        <v>1342</v>
      </c>
      <c r="C263" s="1" t="s">
        <v>1352</v>
      </c>
      <c r="D263" s="1" t="s">
        <v>4388</v>
      </c>
      <c r="E263" s="1" t="s">
        <v>4390</v>
      </c>
      <c r="F263" s="3">
        <v>1</v>
      </c>
      <c r="G263" s="8" t="s">
        <v>2771</v>
      </c>
      <c r="H263" s="8" t="s">
        <v>5159</v>
      </c>
      <c r="I263" s="3">
        <v>31</v>
      </c>
      <c r="J263" s="3" t="s">
        <v>5307</v>
      </c>
      <c r="K263" s="17" t="str">
        <f>HYPERLINK("http://ictvonline.org/taxonomyHistory.asp?taxnode_id=20170294","ICTVonline=20170294")</f>
        <v>ICTVonline=20170294</v>
      </c>
      <c r="L263" s="3">
        <v>262</v>
      </c>
    </row>
    <row r="264" spans="1:12" x14ac:dyDescent="0.15">
      <c r="A264" s="1" t="s">
        <v>1341</v>
      </c>
      <c r="B264" s="1" t="s">
        <v>1342</v>
      </c>
      <c r="C264" s="1" t="s">
        <v>1352</v>
      </c>
      <c r="D264" s="1" t="s">
        <v>4388</v>
      </c>
      <c r="E264" s="1" t="s">
        <v>4391</v>
      </c>
      <c r="F264" s="3">
        <v>0</v>
      </c>
      <c r="G264" s="8" t="s">
        <v>2771</v>
      </c>
      <c r="H264" s="8" t="s">
        <v>5159</v>
      </c>
      <c r="I264" s="3">
        <v>31</v>
      </c>
      <c r="J264" s="3" t="s">
        <v>5307</v>
      </c>
      <c r="K264" s="17" t="str">
        <f>HYPERLINK("http://ictvonline.org/taxonomyHistory.asp?taxnode_id=20170295","ICTVonline=20170295")</f>
        <v>ICTVonline=20170295</v>
      </c>
      <c r="L264" s="3">
        <v>263</v>
      </c>
    </row>
    <row r="265" spans="1:12" x14ac:dyDescent="0.15">
      <c r="A265" s="1" t="s">
        <v>1341</v>
      </c>
      <c r="B265" s="1" t="s">
        <v>1342</v>
      </c>
      <c r="C265" s="1" t="s">
        <v>1352</v>
      </c>
      <c r="D265" s="1" t="s">
        <v>4388</v>
      </c>
      <c r="E265" s="1" t="s">
        <v>4392</v>
      </c>
      <c r="F265" s="3">
        <v>0</v>
      </c>
      <c r="G265" s="8" t="s">
        <v>2771</v>
      </c>
      <c r="H265" s="8" t="s">
        <v>5159</v>
      </c>
      <c r="I265" s="3">
        <v>31</v>
      </c>
      <c r="J265" s="3" t="s">
        <v>5307</v>
      </c>
      <c r="K265" s="17" t="str">
        <f>HYPERLINK("http://ictvonline.org/taxonomyHistory.asp?taxnode_id=20170296","ICTVonline=20170296")</f>
        <v>ICTVonline=20170296</v>
      </c>
      <c r="L265" s="3">
        <v>264</v>
      </c>
    </row>
    <row r="266" spans="1:12" x14ac:dyDescent="0.15">
      <c r="A266" s="1" t="s">
        <v>1341</v>
      </c>
      <c r="B266" s="1" t="s">
        <v>1342</v>
      </c>
      <c r="C266" s="1" t="s">
        <v>1352</v>
      </c>
      <c r="D266" s="1" t="s">
        <v>4388</v>
      </c>
      <c r="E266" s="1" t="s">
        <v>4393</v>
      </c>
      <c r="F266" s="3">
        <v>0</v>
      </c>
      <c r="G266" s="8" t="s">
        <v>2771</v>
      </c>
      <c r="H266" s="8" t="s">
        <v>5159</v>
      </c>
      <c r="I266" s="3">
        <v>31</v>
      </c>
      <c r="J266" s="3" t="s">
        <v>5307</v>
      </c>
      <c r="K266" s="17" t="str">
        <f>HYPERLINK("http://ictvonline.org/taxonomyHistory.asp?taxnode_id=20170297","ICTVonline=20170297")</f>
        <v>ICTVonline=20170297</v>
      </c>
      <c r="L266" s="3">
        <v>265</v>
      </c>
    </row>
    <row r="267" spans="1:12" x14ac:dyDescent="0.15">
      <c r="A267" s="1" t="s">
        <v>1341</v>
      </c>
      <c r="B267" s="1" t="s">
        <v>1342</v>
      </c>
      <c r="C267" s="1" t="s">
        <v>1352</v>
      </c>
      <c r="D267" s="1" t="s">
        <v>4394</v>
      </c>
      <c r="E267" s="1" t="s">
        <v>4395</v>
      </c>
      <c r="F267" s="3">
        <v>0</v>
      </c>
      <c r="G267" s="8" t="s">
        <v>2771</v>
      </c>
      <c r="H267" s="8" t="s">
        <v>5159</v>
      </c>
      <c r="I267" s="3">
        <v>31</v>
      </c>
      <c r="J267" s="3" t="s">
        <v>5308</v>
      </c>
      <c r="K267" s="17" t="str">
        <f>HYPERLINK("http://ictvonline.org/taxonomyHistory.asp?taxnode_id=20170299","ICTVonline=20170299")</f>
        <v>ICTVonline=20170299</v>
      </c>
      <c r="L267" s="3">
        <v>266</v>
      </c>
    </row>
    <row r="268" spans="1:12" x14ac:dyDescent="0.15">
      <c r="A268" s="1" t="s">
        <v>1341</v>
      </c>
      <c r="B268" s="1" t="s">
        <v>1342</v>
      </c>
      <c r="C268" s="1" t="s">
        <v>1352</v>
      </c>
      <c r="D268" s="1" t="s">
        <v>4394</v>
      </c>
      <c r="E268" s="1" t="s">
        <v>4396</v>
      </c>
      <c r="F268" s="3">
        <v>1</v>
      </c>
      <c r="G268" s="8" t="s">
        <v>2771</v>
      </c>
      <c r="H268" s="8" t="s">
        <v>5159</v>
      </c>
      <c r="I268" s="3">
        <v>31</v>
      </c>
      <c r="J268" s="3" t="s">
        <v>5308</v>
      </c>
      <c r="K268" s="17" t="str">
        <f>HYPERLINK("http://ictvonline.org/taxonomyHistory.asp?taxnode_id=20170300","ICTVonline=20170300")</f>
        <v>ICTVonline=20170300</v>
      </c>
      <c r="L268" s="3">
        <v>267</v>
      </c>
    </row>
    <row r="269" spans="1:12" x14ac:dyDescent="0.15">
      <c r="A269" s="1" t="s">
        <v>1341</v>
      </c>
      <c r="B269" s="1" t="s">
        <v>1342</v>
      </c>
      <c r="C269" s="1" t="s">
        <v>1352</v>
      </c>
      <c r="D269" s="1" t="s">
        <v>2842</v>
      </c>
      <c r="E269" s="1" t="s">
        <v>4397</v>
      </c>
      <c r="F269" s="3">
        <v>0</v>
      </c>
      <c r="G269" s="8" t="s">
        <v>2771</v>
      </c>
      <c r="H269" s="8" t="s">
        <v>5159</v>
      </c>
      <c r="I269" s="3">
        <v>31</v>
      </c>
      <c r="J269" s="3" t="s">
        <v>5298</v>
      </c>
      <c r="K269" s="17" t="str">
        <f>HYPERLINK("http://ictvonline.org/taxonomyHistory.asp?taxnode_id=20170302","ICTVonline=20170302")</f>
        <v>ICTVonline=20170302</v>
      </c>
      <c r="L269" s="3">
        <v>268</v>
      </c>
    </row>
    <row r="270" spans="1:12" x14ac:dyDescent="0.15">
      <c r="A270" s="1" t="s">
        <v>1341</v>
      </c>
      <c r="B270" s="1" t="s">
        <v>1342</v>
      </c>
      <c r="C270" s="1" t="s">
        <v>1352</v>
      </c>
      <c r="D270" s="1" t="s">
        <v>2842</v>
      </c>
      <c r="E270" s="1" t="s">
        <v>2843</v>
      </c>
      <c r="F270" s="3">
        <v>0</v>
      </c>
      <c r="G270" s="8" t="s">
        <v>2771</v>
      </c>
      <c r="H270" s="8" t="s">
        <v>5160</v>
      </c>
      <c r="I270" s="3">
        <v>30</v>
      </c>
      <c r="J270" s="3" t="s">
        <v>5305</v>
      </c>
      <c r="K270" s="17" t="str">
        <f>HYPERLINK("http://ictvonline.org/taxonomyHistory.asp?taxnode_id=20170303","ICTVonline=20170303")</f>
        <v>ICTVonline=20170303</v>
      </c>
      <c r="L270" s="3">
        <v>269</v>
      </c>
    </row>
    <row r="271" spans="1:12" x14ac:dyDescent="0.15">
      <c r="A271" s="1" t="s">
        <v>1341</v>
      </c>
      <c r="B271" s="1" t="s">
        <v>1342</v>
      </c>
      <c r="C271" s="1" t="s">
        <v>1352</v>
      </c>
      <c r="D271" s="1" t="s">
        <v>2842</v>
      </c>
      <c r="E271" s="1" t="s">
        <v>2844</v>
      </c>
      <c r="F271" s="3">
        <v>1</v>
      </c>
      <c r="G271" s="8" t="s">
        <v>2771</v>
      </c>
      <c r="H271" s="8" t="s">
        <v>5160</v>
      </c>
      <c r="I271" s="3">
        <v>30</v>
      </c>
      <c r="J271" s="3" t="s">
        <v>5305</v>
      </c>
      <c r="K271" s="17" t="str">
        <f>HYPERLINK("http://ictvonline.org/taxonomyHistory.asp?taxnode_id=20170304","ICTVonline=20170304")</f>
        <v>ICTVonline=20170304</v>
      </c>
      <c r="L271" s="3">
        <v>270</v>
      </c>
    </row>
    <row r="272" spans="1:12" x14ac:dyDescent="0.15">
      <c r="A272" s="1" t="s">
        <v>1341</v>
      </c>
      <c r="B272" s="1" t="s">
        <v>1342</v>
      </c>
      <c r="C272" s="1" t="s">
        <v>1352</v>
      </c>
      <c r="D272" s="1" t="s">
        <v>2845</v>
      </c>
      <c r="E272" s="1" t="s">
        <v>2846</v>
      </c>
      <c r="F272" s="3">
        <v>0</v>
      </c>
      <c r="G272" s="8" t="s">
        <v>2771</v>
      </c>
      <c r="H272" s="8" t="s">
        <v>5159</v>
      </c>
      <c r="I272" s="3">
        <v>30</v>
      </c>
      <c r="J272" s="3" t="s">
        <v>5305</v>
      </c>
      <c r="K272" s="17" t="str">
        <f>HYPERLINK("http://ictvonline.org/taxonomyHistory.asp?taxnode_id=20170306","ICTVonline=20170306")</f>
        <v>ICTVonline=20170306</v>
      </c>
      <c r="L272" s="3">
        <v>271</v>
      </c>
    </row>
    <row r="273" spans="1:12" x14ac:dyDescent="0.15">
      <c r="A273" s="1" t="s">
        <v>1341</v>
      </c>
      <c r="B273" s="1" t="s">
        <v>1342</v>
      </c>
      <c r="C273" s="1" t="s">
        <v>1352</v>
      </c>
      <c r="D273" s="1" t="s">
        <v>2845</v>
      </c>
      <c r="E273" s="1" t="s">
        <v>2847</v>
      </c>
      <c r="F273" s="3">
        <v>0</v>
      </c>
      <c r="G273" s="8" t="s">
        <v>2771</v>
      </c>
      <c r="H273" s="8" t="s">
        <v>5159</v>
      </c>
      <c r="I273" s="3">
        <v>30</v>
      </c>
      <c r="J273" s="3" t="s">
        <v>5305</v>
      </c>
      <c r="K273" s="17" t="str">
        <f>HYPERLINK("http://ictvonline.org/taxonomyHistory.asp?taxnode_id=20170307","ICTVonline=20170307")</f>
        <v>ICTVonline=20170307</v>
      </c>
      <c r="L273" s="3">
        <v>272</v>
      </c>
    </row>
    <row r="274" spans="1:12" x14ac:dyDescent="0.15">
      <c r="A274" s="1" t="s">
        <v>1341</v>
      </c>
      <c r="B274" s="1" t="s">
        <v>1342</v>
      </c>
      <c r="C274" s="1" t="s">
        <v>1352</v>
      </c>
      <c r="D274" s="1" t="s">
        <v>2845</v>
      </c>
      <c r="E274" s="1" t="s">
        <v>2848</v>
      </c>
      <c r="F274" s="3">
        <v>1</v>
      </c>
      <c r="G274" s="8" t="s">
        <v>2771</v>
      </c>
      <c r="H274" s="8" t="s">
        <v>5160</v>
      </c>
      <c r="I274" s="3">
        <v>30</v>
      </c>
      <c r="J274" s="3" t="s">
        <v>5305</v>
      </c>
      <c r="K274" s="17" t="str">
        <f>HYPERLINK("http://ictvonline.org/taxonomyHistory.asp?taxnode_id=20170308","ICTVonline=20170308")</f>
        <v>ICTVonline=20170308</v>
      </c>
      <c r="L274" s="3">
        <v>273</v>
      </c>
    </row>
    <row r="275" spans="1:12" x14ac:dyDescent="0.15">
      <c r="A275" s="1" t="s">
        <v>1341</v>
      </c>
      <c r="B275" s="1" t="s">
        <v>1342</v>
      </c>
      <c r="C275" s="1" t="s">
        <v>1352</v>
      </c>
      <c r="D275" s="1" t="s">
        <v>2845</v>
      </c>
      <c r="E275" s="1" t="s">
        <v>2849</v>
      </c>
      <c r="F275" s="3">
        <v>0</v>
      </c>
      <c r="G275" s="8" t="s">
        <v>2771</v>
      </c>
      <c r="H275" s="8" t="s">
        <v>5159</v>
      </c>
      <c r="I275" s="3">
        <v>30</v>
      </c>
      <c r="J275" s="3" t="s">
        <v>5305</v>
      </c>
      <c r="K275" s="17" t="str">
        <f>HYPERLINK("http://ictvonline.org/taxonomyHistory.asp?taxnode_id=20170309","ICTVonline=20170309")</f>
        <v>ICTVonline=20170309</v>
      </c>
      <c r="L275" s="3">
        <v>274</v>
      </c>
    </row>
    <row r="276" spans="1:12" x14ac:dyDescent="0.15">
      <c r="A276" s="1" t="s">
        <v>1341</v>
      </c>
      <c r="B276" s="1" t="s">
        <v>1342</v>
      </c>
      <c r="C276" s="1" t="s">
        <v>1352</v>
      </c>
      <c r="D276" s="1" t="s">
        <v>2850</v>
      </c>
      <c r="E276" s="1" t="s">
        <v>2851</v>
      </c>
      <c r="F276" s="3">
        <v>1</v>
      </c>
      <c r="G276" s="8" t="s">
        <v>2771</v>
      </c>
      <c r="H276" s="8" t="s">
        <v>5159</v>
      </c>
      <c r="I276" s="3">
        <v>30</v>
      </c>
      <c r="J276" s="3" t="s">
        <v>5305</v>
      </c>
      <c r="K276" s="17" t="str">
        <f>HYPERLINK("http://ictvonline.org/taxonomyHistory.asp?taxnode_id=20170311","ICTVonline=20170311")</f>
        <v>ICTVonline=20170311</v>
      </c>
      <c r="L276" s="3">
        <v>275</v>
      </c>
    </row>
    <row r="277" spans="1:12" x14ac:dyDescent="0.15">
      <c r="A277" s="1" t="s">
        <v>1341</v>
      </c>
      <c r="B277" s="1" t="s">
        <v>1342</v>
      </c>
      <c r="C277" s="1" t="s">
        <v>1352</v>
      </c>
      <c r="D277" s="1" t="s">
        <v>2850</v>
      </c>
      <c r="E277" s="1" t="s">
        <v>2852</v>
      </c>
      <c r="F277" s="3">
        <v>0</v>
      </c>
      <c r="G277" s="8" t="s">
        <v>2771</v>
      </c>
      <c r="H277" s="8" t="s">
        <v>5159</v>
      </c>
      <c r="I277" s="3">
        <v>30</v>
      </c>
      <c r="J277" s="3" t="s">
        <v>5305</v>
      </c>
      <c r="K277" s="17" t="str">
        <f>HYPERLINK("http://ictvonline.org/taxonomyHistory.asp?taxnode_id=20170312","ICTVonline=20170312")</f>
        <v>ICTVonline=20170312</v>
      </c>
      <c r="L277" s="3">
        <v>276</v>
      </c>
    </row>
    <row r="278" spans="1:12" x14ac:dyDescent="0.15">
      <c r="A278" s="1" t="s">
        <v>1341</v>
      </c>
      <c r="B278" s="1" t="s">
        <v>1342</v>
      </c>
      <c r="C278" s="1" t="s">
        <v>1352</v>
      </c>
      <c r="D278" s="1" t="s">
        <v>2853</v>
      </c>
      <c r="E278" s="1" t="s">
        <v>2854</v>
      </c>
      <c r="F278" s="3">
        <v>1</v>
      </c>
      <c r="G278" s="8" t="s">
        <v>2771</v>
      </c>
      <c r="H278" s="8" t="s">
        <v>5160</v>
      </c>
      <c r="I278" s="3">
        <v>30</v>
      </c>
      <c r="J278" s="3" t="s">
        <v>5297</v>
      </c>
      <c r="K278" s="17" t="str">
        <f>HYPERLINK("http://ictvonline.org/taxonomyHistory.asp?taxnode_id=20170314","ICTVonline=20170314")</f>
        <v>ICTVonline=20170314</v>
      </c>
      <c r="L278" s="3">
        <v>277</v>
      </c>
    </row>
    <row r="279" spans="1:12" x14ac:dyDescent="0.15">
      <c r="A279" s="1" t="s">
        <v>1341</v>
      </c>
      <c r="B279" s="1" t="s">
        <v>1342</v>
      </c>
      <c r="C279" s="1" t="s">
        <v>1352</v>
      </c>
      <c r="D279" s="1" t="s">
        <v>2853</v>
      </c>
      <c r="E279" s="1" t="s">
        <v>2855</v>
      </c>
      <c r="F279" s="3">
        <v>0</v>
      </c>
      <c r="G279" s="8" t="s">
        <v>2771</v>
      </c>
      <c r="H279" s="8" t="s">
        <v>5160</v>
      </c>
      <c r="I279" s="3">
        <v>30</v>
      </c>
      <c r="J279" s="3" t="s">
        <v>5297</v>
      </c>
      <c r="K279" s="17" t="str">
        <f>HYPERLINK("http://ictvonline.org/taxonomyHistory.asp?taxnode_id=20170315","ICTVonline=20170315")</f>
        <v>ICTVonline=20170315</v>
      </c>
      <c r="L279" s="3">
        <v>278</v>
      </c>
    </row>
    <row r="280" spans="1:12" x14ac:dyDescent="0.15">
      <c r="A280" s="1" t="s">
        <v>1341</v>
      </c>
      <c r="B280" s="1" t="s">
        <v>1342</v>
      </c>
      <c r="C280" s="1" t="s">
        <v>1352</v>
      </c>
      <c r="D280" s="1" t="s">
        <v>2853</v>
      </c>
      <c r="E280" s="1" t="s">
        <v>2856</v>
      </c>
      <c r="F280" s="3">
        <v>0</v>
      </c>
      <c r="G280" s="8" t="s">
        <v>2771</v>
      </c>
      <c r="H280" s="8" t="s">
        <v>5159</v>
      </c>
      <c r="I280" s="3">
        <v>30</v>
      </c>
      <c r="J280" s="3" t="s">
        <v>5309</v>
      </c>
      <c r="K280" s="17" t="str">
        <f>HYPERLINK("http://ictvonline.org/taxonomyHistory.asp?taxnode_id=20170316","ICTVonline=20170316")</f>
        <v>ICTVonline=20170316</v>
      </c>
      <c r="L280" s="3">
        <v>279</v>
      </c>
    </row>
    <row r="281" spans="1:12" x14ac:dyDescent="0.15">
      <c r="A281" s="1" t="s">
        <v>1341</v>
      </c>
      <c r="B281" s="1" t="s">
        <v>1342</v>
      </c>
      <c r="C281" s="1" t="s">
        <v>1352</v>
      </c>
      <c r="D281" s="1" t="s">
        <v>2857</v>
      </c>
      <c r="E281" s="1" t="s">
        <v>2858</v>
      </c>
      <c r="F281" s="3">
        <v>0</v>
      </c>
      <c r="G281" s="8" t="s">
        <v>2771</v>
      </c>
      <c r="H281" s="8" t="s">
        <v>5159</v>
      </c>
      <c r="I281" s="3">
        <v>30</v>
      </c>
      <c r="J281" s="3" t="s">
        <v>5305</v>
      </c>
      <c r="K281" s="17" t="str">
        <f>HYPERLINK("http://ictvonline.org/taxonomyHistory.asp?taxnode_id=20170318","ICTVonline=20170318")</f>
        <v>ICTVonline=20170318</v>
      </c>
      <c r="L281" s="3">
        <v>280</v>
      </c>
    </row>
    <row r="282" spans="1:12" x14ac:dyDescent="0.15">
      <c r="A282" s="1" t="s">
        <v>1341</v>
      </c>
      <c r="B282" s="1" t="s">
        <v>1342</v>
      </c>
      <c r="C282" s="1" t="s">
        <v>1352</v>
      </c>
      <c r="D282" s="1" t="s">
        <v>2857</v>
      </c>
      <c r="E282" s="1" t="s">
        <v>2859</v>
      </c>
      <c r="F282" s="3">
        <v>0</v>
      </c>
      <c r="G282" s="8" t="s">
        <v>2771</v>
      </c>
      <c r="H282" s="8" t="s">
        <v>5159</v>
      </c>
      <c r="I282" s="3">
        <v>30</v>
      </c>
      <c r="J282" s="3" t="s">
        <v>5305</v>
      </c>
      <c r="K282" s="17" t="str">
        <f>HYPERLINK("http://ictvonline.org/taxonomyHistory.asp?taxnode_id=20170319","ICTVonline=20170319")</f>
        <v>ICTVonline=20170319</v>
      </c>
      <c r="L282" s="3">
        <v>281</v>
      </c>
    </row>
    <row r="283" spans="1:12" x14ac:dyDescent="0.15">
      <c r="A283" s="1" t="s">
        <v>1341</v>
      </c>
      <c r="B283" s="1" t="s">
        <v>1342</v>
      </c>
      <c r="C283" s="1" t="s">
        <v>1352</v>
      </c>
      <c r="D283" s="1" t="s">
        <v>2857</v>
      </c>
      <c r="E283" s="1" t="s">
        <v>2860</v>
      </c>
      <c r="F283" s="3">
        <v>0</v>
      </c>
      <c r="G283" s="8" t="s">
        <v>2771</v>
      </c>
      <c r="H283" s="8" t="s">
        <v>5159</v>
      </c>
      <c r="I283" s="3">
        <v>30</v>
      </c>
      <c r="J283" s="3" t="s">
        <v>5305</v>
      </c>
      <c r="K283" s="17" t="str">
        <f>HYPERLINK("http://ictvonline.org/taxonomyHistory.asp?taxnode_id=20170320","ICTVonline=20170320")</f>
        <v>ICTVonline=20170320</v>
      </c>
      <c r="L283" s="3">
        <v>282</v>
      </c>
    </row>
    <row r="284" spans="1:12" x14ac:dyDescent="0.15">
      <c r="A284" s="1" t="s">
        <v>1341</v>
      </c>
      <c r="B284" s="1" t="s">
        <v>1342</v>
      </c>
      <c r="C284" s="1" t="s">
        <v>1352</v>
      </c>
      <c r="D284" s="1" t="s">
        <v>2857</v>
      </c>
      <c r="E284" s="1" t="s">
        <v>2861</v>
      </c>
      <c r="F284" s="3">
        <v>0</v>
      </c>
      <c r="G284" s="8" t="s">
        <v>2771</v>
      </c>
      <c r="H284" s="8" t="s">
        <v>5159</v>
      </c>
      <c r="I284" s="3">
        <v>30</v>
      </c>
      <c r="J284" s="3" t="s">
        <v>5305</v>
      </c>
      <c r="K284" s="17" t="str">
        <f>HYPERLINK("http://ictvonline.org/taxonomyHistory.asp?taxnode_id=20170321","ICTVonline=20170321")</f>
        <v>ICTVonline=20170321</v>
      </c>
      <c r="L284" s="3">
        <v>283</v>
      </c>
    </row>
    <row r="285" spans="1:12" x14ac:dyDescent="0.15">
      <c r="A285" s="1" t="s">
        <v>1341</v>
      </c>
      <c r="B285" s="1" t="s">
        <v>1342</v>
      </c>
      <c r="C285" s="1" t="s">
        <v>1352</v>
      </c>
      <c r="D285" s="1" t="s">
        <v>2857</v>
      </c>
      <c r="E285" s="1" t="s">
        <v>2862</v>
      </c>
      <c r="F285" s="3">
        <v>1</v>
      </c>
      <c r="G285" s="8" t="s">
        <v>2771</v>
      </c>
      <c r="H285" s="8" t="s">
        <v>5159</v>
      </c>
      <c r="I285" s="3">
        <v>30</v>
      </c>
      <c r="J285" s="3" t="s">
        <v>5305</v>
      </c>
      <c r="K285" s="17" t="str">
        <f>HYPERLINK("http://ictvonline.org/taxonomyHistory.asp?taxnode_id=20170322","ICTVonline=20170322")</f>
        <v>ICTVonline=20170322</v>
      </c>
      <c r="L285" s="3">
        <v>284</v>
      </c>
    </row>
    <row r="286" spans="1:12" x14ac:dyDescent="0.15">
      <c r="A286" s="1" t="s">
        <v>1341</v>
      </c>
      <c r="B286" s="1" t="s">
        <v>1342</v>
      </c>
      <c r="C286" s="1" t="s">
        <v>1352</v>
      </c>
      <c r="D286" s="1" t="s">
        <v>2863</v>
      </c>
      <c r="E286" s="1" t="s">
        <v>2864</v>
      </c>
      <c r="F286" s="3">
        <v>0</v>
      </c>
      <c r="G286" s="8" t="s">
        <v>2771</v>
      </c>
      <c r="H286" s="8" t="s">
        <v>5159</v>
      </c>
      <c r="I286" s="3">
        <v>30</v>
      </c>
      <c r="J286" s="3" t="s">
        <v>5305</v>
      </c>
      <c r="K286" s="17" t="str">
        <f>HYPERLINK("http://ictvonline.org/taxonomyHistory.asp?taxnode_id=20170324","ICTVonline=20170324")</f>
        <v>ICTVonline=20170324</v>
      </c>
      <c r="L286" s="3">
        <v>285</v>
      </c>
    </row>
    <row r="287" spans="1:12" x14ac:dyDescent="0.15">
      <c r="A287" s="1" t="s">
        <v>1341</v>
      </c>
      <c r="B287" s="1" t="s">
        <v>1342</v>
      </c>
      <c r="C287" s="1" t="s">
        <v>1352</v>
      </c>
      <c r="D287" s="1" t="s">
        <v>2863</v>
      </c>
      <c r="E287" s="1" t="s">
        <v>2865</v>
      </c>
      <c r="F287" s="3">
        <v>0</v>
      </c>
      <c r="G287" s="8" t="s">
        <v>2771</v>
      </c>
      <c r="H287" s="8" t="s">
        <v>5159</v>
      </c>
      <c r="I287" s="3">
        <v>30</v>
      </c>
      <c r="J287" s="3" t="s">
        <v>5305</v>
      </c>
      <c r="K287" s="17" t="str">
        <f>HYPERLINK("http://ictvonline.org/taxonomyHistory.asp?taxnode_id=20170325","ICTVonline=20170325")</f>
        <v>ICTVonline=20170325</v>
      </c>
      <c r="L287" s="3">
        <v>286</v>
      </c>
    </row>
    <row r="288" spans="1:12" x14ac:dyDescent="0.15">
      <c r="A288" s="1" t="s">
        <v>1341</v>
      </c>
      <c r="B288" s="1" t="s">
        <v>1342</v>
      </c>
      <c r="C288" s="1" t="s">
        <v>1352</v>
      </c>
      <c r="D288" s="1" t="s">
        <v>2863</v>
      </c>
      <c r="E288" s="1" t="s">
        <v>2866</v>
      </c>
      <c r="F288" s="3">
        <v>0</v>
      </c>
      <c r="G288" s="8" t="s">
        <v>2771</v>
      </c>
      <c r="H288" s="8" t="s">
        <v>5159</v>
      </c>
      <c r="I288" s="3">
        <v>30</v>
      </c>
      <c r="J288" s="3" t="s">
        <v>5305</v>
      </c>
      <c r="K288" s="17" t="str">
        <f>HYPERLINK("http://ictvonline.org/taxonomyHistory.asp?taxnode_id=20170326","ICTVonline=20170326")</f>
        <v>ICTVonline=20170326</v>
      </c>
      <c r="L288" s="3">
        <v>287</v>
      </c>
    </row>
    <row r="289" spans="1:12" x14ac:dyDescent="0.15">
      <c r="A289" s="1" t="s">
        <v>1341</v>
      </c>
      <c r="B289" s="1" t="s">
        <v>1342</v>
      </c>
      <c r="C289" s="1" t="s">
        <v>1352</v>
      </c>
      <c r="D289" s="1" t="s">
        <v>2863</v>
      </c>
      <c r="E289" s="1" t="s">
        <v>2867</v>
      </c>
      <c r="F289" s="3">
        <v>0</v>
      </c>
      <c r="G289" s="8" t="s">
        <v>2771</v>
      </c>
      <c r="H289" s="8" t="s">
        <v>5159</v>
      </c>
      <c r="I289" s="3">
        <v>30</v>
      </c>
      <c r="J289" s="3" t="s">
        <v>5305</v>
      </c>
      <c r="K289" s="17" t="str">
        <f>HYPERLINK("http://ictvonline.org/taxonomyHistory.asp?taxnode_id=20170327","ICTVonline=20170327")</f>
        <v>ICTVonline=20170327</v>
      </c>
      <c r="L289" s="3">
        <v>288</v>
      </c>
    </row>
    <row r="290" spans="1:12" x14ac:dyDescent="0.15">
      <c r="A290" s="1" t="s">
        <v>1341</v>
      </c>
      <c r="B290" s="1" t="s">
        <v>1342</v>
      </c>
      <c r="C290" s="1" t="s">
        <v>1352</v>
      </c>
      <c r="D290" s="1" t="s">
        <v>2863</v>
      </c>
      <c r="E290" s="1" t="s">
        <v>4398</v>
      </c>
      <c r="F290" s="3">
        <v>0</v>
      </c>
      <c r="G290" s="8" t="s">
        <v>2771</v>
      </c>
      <c r="H290" s="8" t="s">
        <v>5159</v>
      </c>
      <c r="I290" s="3">
        <v>31</v>
      </c>
      <c r="J290" s="3" t="s">
        <v>5298</v>
      </c>
      <c r="K290" s="17" t="str">
        <f>HYPERLINK("http://ictvonline.org/taxonomyHistory.asp?taxnode_id=20170328","ICTVonline=20170328")</f>
        <v>ICTVonline=20170328</v>
      </c>
      <c r="L290" s="3">
        <v>289</v>
      </c>
    </row>
    <row r="291" spans="1:12" x14ac:dyDescent="0.15">
      <c r="A291" s="1" t="s">
        <v>1341</v>
      </c>
      <c r="B291" s="1" t="s">
        <v>1342</v>
      </c>
      <c r="C291" s="1" t="s">
        <v>1352</v>
      </c>
      <c r="D291" s="1" t="s">
        <v>2863</v>
      </c>
      <c r="E291" s="1" t="s">
        <v>2868</v>
      </c>
      <c r="F291" s="3">
        <v>0</v>
      </c>
      <c r="G291" s="8" t="s">
        <v>2771</v>
      </c>
      <c r="H291" s="8" t="s">
        <v>5159</v>
      </c>
      <c r="I291" s="3">
        <v>30</v>
      </c>
      <c r="J291" s="3" t="s">
        <v>5305</v>
      </c>
      <c r="K291" s="17" t="str">
        <f>HYPERLINK("http://ictvonline.org/taxonomyHistory.asp?taxnode_id=20170329","ICTVonline=20170329")</f>
        <v>ICTVonline=20170329</v>
      </c>
      <c r="L291" s="3">
        <v>290</v>
      </c>
    </row>
    <row r="292" spans="1:12" x14ac:dyDescent="0.15">
      <c r="A292" s="1" t="s">
        <v>1341</v>
      </c>
      <c r="B292" s="1" t="s">
        <v>1342</v>
      </c>
      <c r="C292" s="1" t="s">
        <v>1352</v>
      </c>
      <c r="D292" s="1" t="s">
        <v>2863</v>
      </c>
      <c r="E292" s="1" t="s">
        <v>2869</v>
      </c>
      <c r="F292" s="3">
        <v>0</v>
      </c>
      <c r="G292" s="8" t="s">
        <v>2771</v>
      </c>
      <c r="H292" s="8" t="s">
        <v>5159</v>
      </c>
      <c r="I292" s="3">
        <v>30</v>
      </c>
      <c r="J292" s="3" t="s">
        <v>5305</v>
      </c>
      <c r="K292" s="17" t="str">
        <f>HYPERLINK("http://ictvonline.org/taxonomyHistory.asp?taxnode_id=20170330","ICTVonline=20170330")</f>
        <v>ICTVonline=20170330</v>
      </c>
      <c r="L292" s="3">
        <v>291</v>
      </c>
    </row>
    <row r="293" spans="1:12" x14ac:dyDescent="0.15">
      <c r="A293" s="1" t="s">
        <v>1341</v>
      </c>
      <c r="B293" s="1" t="s">
        <v>1342</v>
      </c>
      <c r="C293" s="1" t="s">
        <v>1352</v>
      </c>
      <c r="D293" s="1" t="s">
        <v>2863</v>
      </c>
      <c r="E293" s="1" t="s">
        <v>2870</v>
      </c>
      <c r="F293" s="3">
        <v>0</v>
      </c>
      <c r="G293" s="8" t="s">
        <v>2771</v>
      </c>
      <c r="H293" s="8" t="s">
        <v>5160</v>
      </c>
      <c r="I293" s="3">
        <v>30</v>
      </c>
      <c r="J293" s="3" t="s">
        <v>5297</v>
      </c>
      <c r="K293" s="17" t="str">
        <f>HYPERLINK("http://ictvonline.org/taxonomyHistory.asp?taxnode_id=20170331","ICTVonline=20170331")</f>
        <v>ICTVonline=20170331</v>
      </c>
      <c r="L293" s="3">
        <v>292</v>
      </c>
    </row>
    <row r="294" spans="1:12" x14ac:dyDescent="0.15">
      <c r="A294" s="1" t="s">
        <v>1341</v>
      </c>
      <c r="B294" s="1" t="s">
        <v>1342</v>
      </c>
      <c r="C294" s="1" t="s">
        <v>1352</v>
      </c>
      <c r="D294" s="1" t="s">
        <v>2863</v>
      </c>
      <c r="E294" s="1" t="s">
        <v>2871</v>
      </c>
      <c r="F294" s="3">
        <v>1</v>
      </c>
      <c r="G294" s="8" t="s">
        <v>2771</v>
      </c>
      <c r="H294" s="8" t="s">
        <v>5160</v>
      </c>
      <c r="I294" s="3">
        <v>30</v>
      </c>
      <c r="J294" s="3" t="s">
        <v>5297</v>
      </c>
      <c r="K294" s="17" t="str">
        <f>HYPERLINK("http://ictvonline.org/taxonomyHistory.asp?taxnode_id=20170332","ICTVonline=20170332")</f>
        <v>ICTVonline=20170332</v>
      </c>
      <c r="L294" s="3">
        <v>293</v>
      </c>
    </row>
    <row r="295" spans="1:12" x14ac:dyDescent="0.15">
      <c r="A295" s="1" t="s">
        <v>1341</v>
      </c>
      <c r="B295" s="1" t="s">
        <v>1342</v>
      </c>
      <c r="C295" s="1" t="s">
        <v>1352</v>
      </c>
      <c r="D295" s="1" t="s">
        <v>2863</v>
      </c>
      <c r="E295" s="1" t="s">
        <v>2872</v>
      </c>
      <c r="F295" s="3">
        <v>0</v>
      </c>
      <c r="G295" s="8" t="s">
        <v>2771</v>
      </c>
      <c r="H295" s="8" t="s">
        <v>5159</v>
      </c>
      <c r="I295" s="3">
        <v>30</v>
      </c>
      <c r="J295" s="3" t="s">
        <v>5305</v>
      </c>
      <c r="K295" s="17" t="str">
        <f>HYPERLINK("http://ictvonline.org/taxonomyHistory.asp?taxnode_id=20170333","ICTVonline=20170333")</f>
        <v>ICTVonline=20170333</v>
      </c>
      <c r="L295" s="3">
        <v>294</v>
      </c>
    </row>
    <row r="296" spans="1:12" x14ac:dyDescent="0.15">
      <c r="A296" s="1" t="s">
        <v>1341</v>
      </c>
      <c r="B296" s="1" t="s">
        <v>1342</v>
      </c>
      <c r="C296" s="1" t="s">
        <v>1352</v>
      </c>
      <c r="D296" s="1" t="s">
        <v>2863</v>
      </c>
      <c r="E296" s="1" t="s">
        <v>2873</v>
      </c>
      <c r="F296" s="3">
        <v>0</v>
      </c>
      <c r="G296" s="8" t="s">
        <v>2771</v>
      </c>
      <c r="H296" s="8" t="s">
        <v>5159</v>
      </c>
      <c r="I296" s="3">
        <v>30</v>
      </c>
      <c r="J296" s="3" t="s">
        <v>5305</v>
      </c>
      <c r="K296" s="17" t="str">
        <f>HYPERLINK("http://ictvonline.org/taxonomyHistory.asp?taxnode_id=20170334","ICTVonline=20170334")</f>
        <v>ICTVonline=20170334</v>
      </c>
      <c r="L296" s="3">
        <v>295</v>
      </c>
    </row>
    <row r="297" spans="1:12" x14ac:dyDescent="0.15">
      <c r="A297" s="1" t="s">
        <v>1341</v>
      </c>
      <c r="B297" s="1" t="s">
        <v>1342</v>
      </c>
      <c r="C297" s="1" t="s">
        <v>1352</v>
      </c>
      <c r="D297" s="1" t="s">
        <v>2863</v>
      </c>
      <c r="E297" s="1" t="s">
        <v>2874</v>
      </c>
      <c r="F297" s="3">
        <v>0</v>
      </c>
      <c r="G297" s="8" t="s">
        <v>2771</v>
      </c>
      <c r="H297" s="8" t="s">
        <v>5159</v>
      </c>
      <c r="I297" s="3">
        <v>30</v>
      </c>
      <c r="J297" s="3" t="s">
        <v>5305</v>
      </c>
      <c r="K297" s="17" t="str">
        <f>HYPERLINK("http://ictvonline.org/taxonomyHistory.asp?taxnode_id=20170335","ICTVonline=20170335")</f>
        <v>ICTVonline=20170335</v>
      </c>
      <c r="L297" s="3">
        <v>296</v>
      </c>
    </row>
    <row r="298" spans="1:12" x14ac:dyDescent="0.15">
      <c r="A298" s="1" t="s">
        <v>1341</v>
      </c>
      <c r="B298" s="1" t="s">
        <v>1342</v>
      </c>
      <c r="C298" s="1" t="s">
        <v>1352</v>
      </c>
      <c r="D298" s="1" t="s">
        <v>2863</v>
      </c>
      <c r="E298" s="1" t="s">
        <v>2875</v>
      </c>
      <c r="F298" s="3">
        <v>0</v>
      </c>
      <c r="G298" s="8" t="s">
        <v>2771</v>
      </c>
      <c r="H298" s="8" t="s">
        <v>5159</v>
      </c>
      <c r="I298" s="3">
        <v>30</v>
      </c>
      <c r="J298" s="3" t="s">
        <v>5305</v>
      </c>
      <c r="K298" s="17" t="str">
        <f>HYPERLINK("http://ictvonline.org/taxonomyHistory.asp?taxnode_id=20170336","ICTVonline=20170336")</f>
        <v>ICTVonline=20170336</v>
      </c>
      <c r="L298" s="3">
        <v>297</v>
      </c>
    </row>
    <row r="299" spans="1:12" x14ac:dyDescent="0.15">
      <c r="A299" s="1" t="s">
        <v>1341</v>
      </c>
      <c r="B299" s="1" t="s">
        <v>1342</v>
      </c>
      <c r="C299" s="1" t="s">
        <v>1352</v>
      </c>
      <c r="D299" s="1" t="s">
        <v>908</v>
      </c>
      <c r="E299" s="1" t="s">
        <v>2876</v>
      </c>
      <c r="F299" s="3">
        <v>0</v>
      </c>
      <c r="G299" s="8" t="s">
        <v>2771</v>
      </c>
      <c r="H299" s="8" t="s">
        <v>5162</v>
      </c>
      <c r="I299" s="3">
        <v>30</v>
      </c>
      <c r="J299" s="3" t="s">
        <v>5297</v>
      </c>
      <c r="K299" s="17" t="str">
        <f>HYPERLINK("http://ictvonline.org/taxonomyHistory.asp?taxnode_id=20170338","ICTVonline=20170338")</f>
        <v>ICTVonline=20170338</v>
      </c>
      <c r="L299" s="3">
        <v>298</v>
      </c>
    </row>
    <row r="300" spans="1:12" x14ac:dyDescent="0.15">
      <c r="A300" s="1" t="s">
        <v>1341</v>
      </c>
      <c r="B300" s="1" t="s">
        <v>1342</v>
      </c>
      <c r="C300" s="1" t="s">
        <v>1352</v>
      </c>
      <c r="D300" s="1" t="s">
        <v>908</v>
      </c>
      <c r="E300" s="1" t="s">
        <v>2877</v>
      </c>
      <c r="F300" s="3">
        <v>0</v>
      </c>
      <c r="G300" s="8" t="s">
        <v>2771</v>
      </c>
      <c r="H300" s="8" t="s">
        <v>5162</v>
      </c>
      <c r="I300" s="3">
        <v>30</v>
      </c>
      <c r="J300" s="3" t="s">
        <v>5297</v>
      </c>
      <c r="K300" s="17" t="str">
        <f>HYPERLINK("http://ictvonline.org/taxonomyHistory.asp?taxnode_id=20170339","ICTVonline=20170339")</f>
        <v>ICTVonline=20170339</v>
      </c>
      <c r="L300" s="3">
        <v>299</v>
      </c>
    </row>
    <row r="301" spans="1:12" x14ac:dyDescent="0.15">
      <c r="A301" s="1" t="s">
        <v>1341</v>
      </c>
      <c r="B301" s="1" t="s">
        <v>1342</v>
      </c>
      <c r="C301" s="1" t="s">
        <v>1352</v>
      </c>
      <c r="D301" s="1" t="s">
        <v>908</v>
      </c>
      <c r="E301" s="1" t="s">
        <v>2878</v>
      </c>
      <c r="F301" s="3">
        <v>0</v>
      </c>
      <c r="G301" s="8" t="s">
        <v>2771</v>
      </c>
      <c r="H301" s="8" t="s">
        <v>5162</v>
      </c>
      <c r="I301" s="3">
        <v>30</v>
      </c>
      <c r="J301" s="3" t="s">
        <v>5297</v>
      </c>
      <c r="K301" s="17" t="str">
        <f>HYPERLINK("http://ictvonline.org/taxonomyHistory.asp?taxnode_id=20170340","ICTVonline=20170340")</f>
        <v>ICTVonline=20170340</v>
      </c>
      <c r="L301" s="3">
        <v>300</v>
      </c>
    </row>
    <row r="302" spans="1:12" x14ac:dyDescent="0.15">
      <c r="A302" s="1" t="s">
        <v>1341</v>
      </c>
      <c r="B302" s="1" t="s">
        <v>1342</v>
      </c>
      <c r="C302" s="1" t="s">
        <v>1352</v>
      </c>
      <c r="D302" s="1" t="s">
        <v>908</v>
      </c>
      <c r="E302" s="1" t="s">
        <v>2879</v>
      </c>
      <c r="F302" s="3">
        <v>0</v>
      </c>
      <c r="G302" s="8" t="s">
        <v>2771</v>
      </c>
      <c r="H302" s="8" t="s">
        <v>5160</v>
      </c>
      <c r="I302" s="3">
        <v>30</v>
      </c>
      <c r="J302" s="3" t="s">
        <v>5305</v>
      </c>
      <c r="K302" s="17" t="str">
        <f>HYPERLINK("http://ictvonline.org/taxonomyHistory.asp?taxnode_id=20170341","ICTVonline=20170341")</f>
        <v>ICTVonline=20170341</v>
      </c>
      <c r="L302" s="3">
        <v>301</v>
      </c>
    </row>
    <row r="303" spans="1:12" x14ac:dyDescent="0.15">
      <c r="A303" s="1" t="s">
        <v>1341</v>
      </c>
      <c r="B303" s="1" t="s">
        <v>1342</v>
      </c>
      <c r="C303" s="1" t="s">
        <v>1352</v>
      </c>
      <c r="D303" s="1" t="s">
        <v>908</v>
      </c>
      <c r="E303" s="1" t="s">
        <v>2880</v>
      </c>
      <c r="F303" s="3">
        <v>0</v>
      </c>
      <c r="G303" s="8" t="s">
        <v>2771</v>
      </c>
      <c r="H303" s="8" t="s">
        <v>5160</v>
      </c>
      <c r="I303" s="3">
        <v>30</v>
      </c>
      <c r="J303" s="3" t="s">
        <v>5305</v>
      </c>
      <c r="K303" s="17" t="str">
        <f>HYPERLINK("http://ictvonline.org/taxonomyHistory.asp?taxnode_id=20170342","ICTVonline=20170342")</f>
        <v>ICTVonline=20170342</v>
      </c>
      <c r="L303" s="3">
        <v>302</v>
      </c>
    </row>
    <row r="304" spans="1:12" x14ac:dyDescent="0.15">
      <c r="A304" s="1" t="s">
        <v>1341</v>
      </c>
      <c r="B304" s="1" t="s">
        <v>1342</v>
      </c>
      <c r="C304" s="1" t="s">
        <v>1352</v>
      </c>
      <c r="D304" s="1" t="s">
        <v>908</v>
      </c>
      <c r="E304" s="1" t="s">
        <v>2881</v>
      </c>
      <c r="F304" s="3">
        <v>0</v>
      </c>
      <c r="G304" s="8" t="s">
        <v>2771</v>
      </c>
      <c r="H304" s="8" t="s">
        <v>5160</v>
      </c>
      <c r="I304" s="3">
        <v>30</v>
      </c>
      <c r="J304" s="3" t="s">
        <v>5305</v>
      </c>
      <c r="K304" s="17" t="str">
        <f>HYPERLINK("http://ictvonline.org/taxonomyHistory.asp?taxnode_id=20170343","ICTVonline=20170343")</f>
        <v>ICTVonline=20170343</v>
      </c>
      <c r="L304" s="3">
        <v>303</v>
      </c>
    </row>
    <row r="305" spans="1:12" x14ac:dyDescent="0.15">
      <c r="A305" s="1" t="s">
        <v>1341</v>
      </c>
      <c r="B305" s="1" t="s">
        <v>1342</v>
      </c>
      <c r="C305" s="1" t="s">
        <v>1352</v>
      </c>
      <c r="D305" s="1" t="s">
        <v>908</v>
      </c>
      <c r="E305" s="1" t="s">
        <v>2882</v>
      </c>
      <c r="F305" s="3">
        <v>0</v>
      </c>
      <c r="G305" s="8" t="s">
        <v>2771</v>
      </c>
      <c r="H305" s="8" t="s">
        <v>5160</v>
      </c>
      <c r="I305" s="3">
        <v>30</v>
      </c>
      <c r="J305" s="3" t="s">
        <v>5305</v>
      </c>
      <c r="K305" s="17" t="str">
        <f>HYPERLINK("http://ictvonline.org/taxonomyHistory.asp?taxnode_id=20170344","ICTVonline=20170344")</f>
        <v>ICTVonline=20170344</v>
      </c>
      <c r="L305" s="3">
        <v>304</v>
      </c>
    </row>
    <row r="306" spans="1:12" x14ac:dyDescent="0.15">
      <c r="A306" s="1" t="s">
        <v>1341</v>
      </c>
      <c r="B306" s="1" t="s">
        <v>1342</v>
      </c>
      <c r="C306" s="1" t="s">
        <v>2883</v>
      </c>
      <c r="D306" s="1" t="s">
        <v>2884</v>
      </c>
      <c r="E306" s="1" t="s">
        <v>2885</v>
      </c>
      <c r="F306" s="3">
        <v>1</v>
      </c>
      <c r="G306" s="8" t="s">
        <v>2771</v>
      </c>
      <c r="H306" s="8" t="s">
        <v>5159</v>
      </c>
      <c r="I306" s="3">
        <v>30</v>
      </c>
      <c r="J306" s="3" t="s">
        <v>5310</v>
      </c>
      <c r="K306" s="17" t="str">
        <f>HYPERLINK("http://ictvonline.org/taxonomyHistory.asp?taxnode_id=20170347","ICTVonline=20170347")</f>
        <v>ICTVonline=20170347</v>
      </c>
      <c r="L306" s="3">
        <v>305</v>
      </c>
    </row>
    <row r="307" spans="1:12" x14ac:dyDescent="0.15">
      <c r="A307" s="1" t="s">
        <v>1341</v>
      </c>
      <c r="B307" s="1" t="s">
        <v>1342</v>
      </c>
      <c r="C307" s="1" t="s">
        <v>2883</v>
      </c>
      <c r="D307" s="1" t="s">
        <v>2884</v>
      </c>
      <c r="E307" s="1" t="s">
        <v>2886</v>
      </c>
      <c r="F307" s="3">
        <v>0</v>
      </c>
      <c r="G307" s="8" t="s">
        <v>2771</v>
      </c>
      <c r="H307" s="8" t="s">
        <v>5159</v>
      </c>
      <c r="I307" s="3">
        <v>30</v>
      </c>
      <c r="J307" s="3" t="s">
        <v>5310</v>
      </c>
      <c r="K307" s="17" t="str">
        <f>HYPERLINK("http://ictvonline.org/taxonomyHistory.asp?taxnode_id=20170348","ICTVonline=20170348")</f>
        <v>ICTVonline=20170348</v>
      </c>
      <c r="L307" s="3">
        <v>306</v>
      </c>
    </row>
    <row r="308" spans="1:12" x14ac:dyDescent="0.15">
      <c r="A308" s="1" t="s">
        <v>1341</v>
      </c>
      <c r="B308" s="1" t="s">
        <v>1342</v>
      </c>
      <c r="C308" s="1" t="s">
        <v>2883</v>
      </c>
      <c r="D308" s="1" t="s">
        <v>2884</v>
      </c>
      <c r="E308" s="1" t="s">
        <v>2887</v>
      </c>
      <c r="F308" s="3">
        <v>0</v>
      </c>
      <c r="G308" s="8" t="s">
        <v>2771</v>
      </c>
      <c r="H308" s="8" t="s">
        <v>5159</v>
      </c>
      <c r="I308" s="3">
        <v>30</v>
      </c>
      <c r="J308" s="3" t="s">
        <v>5310</v>
      </c>
      <c r="K308" s="17" t="str">
        <f>HYPERLINK("http://ictvonline.org/taxonomyHistory.asp?taxnode_id=20170349","ICTVonline=20170349")</f>
        <v>ICTVonline=20170349</v>
      </c>
      <c r="L308" s="3">
        <v>307</v>
      </c>
    </row>
    <row r="309" spans="1:12" x14ac:dyDescent="0.15">
      <c r="A309" s="1" t="s">
        <v>1341</v>
      </c>
      <c r="B309" s="1" t="s">
        <v>1342</v>
      </c>
      <c r="C309" s="1" t="s">
        <v>2883</v>
      </c>
      <c r="D309" s="1" t="s">
        <v>2884</v>
      </c>
      <c r="E309" s="1" t="s">
        <v>4399</v>
      </c>
      <c r="F309" s="3">
        <v>0</v>
      </c>
      <c r="G309" s="8" t="s">
        <v>2771</v>
      </c>
      <c r="H309" s="8" t="s">
        <v>5159</v>
      </c>
      <c r="I309" s="3">
        <v>31</v>
      </c>
      <c r="J309" s="3" t="s">
        <v>5298</v>
      </c>
      <c r="K309" s="17" t="str">
        <f>HYPERLINK("http://ictvonline.org/taxonomyHistory.asp?taxnode_id=20170350","ICTVonline=20170350")</f>
        <v>ICTVonline=20170350</v>
      </c>
      <c r="L309" s="3">
        <v>308</v>
      </c>
    </row>
    <row r="310" spans="1:12" x14ac:dyDescent="0.15">
      <c r="A310" s="1" t="s">
        <v>1341</v>
      </c>
      <c r="B310" s="1" t="s">
        <v>1342</v>
      </c>
      <c r="C310" s="1" t="s">
        <v>2883</v>
      </c>
      <c r="D310" s="1" t="s">
        <v>2884</v>
      </c>
      <c r="E310" s="1" t="s">
        <v>4400</v>
      </c>
      <c r="F310" s="3">
        <v>0</v>
      </c>
      <c r="G310" s="8" t="s">
        <v>2771</v>
      </c>
      <c r="H310" s="8" t="s">
        <v>5159</v>
      </c>
      <c r="I310" s="3">
        <v>31</v>
      </c>
      <c r="J310" s="3" t="s">
        <v>5298</v>
      </c>
      <c r="K310" s="17" t="str">
        <f>HYPERLINK("http://ictvonline.org/taxonomyHistory.asp?taxnode_id=20170351","ICTVonline=20170351")</f>
        <v>ICTVonline=20170351</v>
      </c>
      <c r="L310" s="3">
        <v>309</v>
      </c>
    </row>
    <row r="311" spans="1:12" x14ac:dyDescent="0.15">
      <c r="A311" s="1" t="s">
        <v>1341</v>
      </c>
      <c r="B311" s="1" t="s">
        <v>1342</v>
      </c>
      <c r="C311" s="1" t="s">
        <v>2883</v>
      </c>
      <c r="D311" s="1" t="s">
        <v>2888</v>
      </c>
      <c r="E311" s="1" t="s">
        <v>2889</v>
      </c>
      <c r="F311" s="3">
        <v>0</v>
      </c>
      <c r="G311" s="8" t="s">
        <v>2771</v>
      </c>
      <c r="H311" s="8" t="s">
        <v>5159</v>
      </c>
      <c r="I311" s="3">
        <v>30</v>
      </c>
      <c r="J311" s="3" t="s">
        <v>5310</v>
      </c>
      <c r="K311" s="17" t="str">
        <f>HYPERLINK("http://ictvonline.org/taxonomyHistory.asp?taxnode_id=20170353","ICTVonline=20170353")</f>
        <v>ICTVonline=20170353</v>
      </c>
      <c r="L311" s="3">
        <v>310</v>
      </c>
    </row>
    <row r="312" spans="1:12" x14ac:dyDescent="0.15">
      <c r="A312" s="1" t="s">
        <v>1341</v>
      </c>
      <c r="B312" s="1" t="s">
        <v>1342</v>
      </c>
      <c r="C312" s="1" t="s">
        <v>2883</v>
      </c>
      <c r="D312" s="1" t="s">
        <v>2888</v>
      </c>
      <c r="E312" s="1" t="s">
        <v>2890</v>
      </c>
      <c r="F312" s="3">
        <v>0</v>
      </c>
      <c r="G312" s="8" t="s">
        <v>2771</v>
      </c>
      <c r="H312" s="8" t="s">
        <v>5159</v>
      </c>
      <c r="I312" s="3">
        <v>30</v>
      </c>
      <c r="J312" s="3" t="s">
        <v>5310</v>
      </c>
      <c r="K312" s="17" t="str">
        <f>HYPERLINK("http://ictvonline.org/taxonomyHistory.asp?taxnode_id=20170354","ICTVonline=20170354")</f>
        <v>ICTVonline=20170354</v>
      </c>
      <c r="L312" s="3">
        <v>311</v>
      </c>
    </row>
    <row r="313" spans="1:12" x14ac:dyDescent="0.15">
      <c r="A313" s="1" t="s">
        <v>1341</v>
      </c>
      <c r="B313" s="1" t="s">
        <v>1342</v>
      </c>
      <c r="C313" s="1" t="s">
        <v>2883</v>
      </c>
      <c r="D313" s="1" t="s">
        <v>2888</v>
      </c>
      <c r="E313" s="1" t="s">
        <v>2891</v>
      </c>
      <c r="F313" s="3">
        <v>1</v>
      </c>
      <c r="G313" s="8" t="s">
        <v>2771</v>
      </c>
      <c r="H313" s="8" t="s">
        <v>5159</v>
      </c>
      <c r="I313" s="3">
        <v>30</v>
      </c>
      <c r="J313" s="3" t="s">
        <v>5310</v>
      </c>
      <c r="K313" s="17" t="str">
        <f>HYPERLINK("http://ictvonline.org/taxonomyHistory.asp?taxnode_id=20170355","ICTVonline=20170355")</f>
        <v>ICTVonline=20170355</v>
      </c>
      <c r="L313" s="3">
        <v>312</v>
      </c>
    </row>
    <row r="314" spans="1:12" x14ac:dyDescent="0.15">
      <c r="A314" s="1" t="s">
        <v>1341</v>
      </c>
      <c r="B314" s="1" t="s">
        <v>1342</v>
      </c>
      <c r="C314" s="1" t="s">
        <v>2883</v>
      </c>
      <c r="D314" s="1" t="s">
        <v>2888</v>
      </c>
      <c r="E314" s="1" t="s">
        <v>2892</v>
      </c>
      <c r="F314" s="3">
        <v>0</v>
      </c>
      <c r="G314" s="8" t="s">
        <v>2771</v>
      </c>
      <c r="H314" s="8" t="s">
        <v>5159</v>
      </c>
      <c r="I314" s="3">
        <v>30</v>
      </c>
      <c r="J314" s="3" t="s">
        <v>5310</v>
      </c>
      <c r="K314" s="17" t="str">
        <f>HYPERLINK("http://ictvonline.org/taxonomyHistory.asp?taxnode_id=20170356","ICTVonline=20170356")</f>
        <v>ICTVonline=20170356</v>
      </c>
      <c r="L314" s="3">
        <v>313</v>
      </c>
    </row>
    <row r="315" spans="1:12" x14ac:dyDescent="0.15">
      <c r="A315" s="1" t="s">
        <v>1341</v>
      </c>
      <c r="B315" s="1" t="s">
        <v>1342</v>
      </c>
      <c r="C315" s="1" t="s">
        <v>2883</v>
      </c>
      <c r="D315" s="1" t="s">
        <v>2893</v>
      </c>
      <c r="E315" s="1" t="s">
        <v>2894</v>
      </c>
      <c r="F315" s="3">
        <v>0</v>
      </c>
      <c r="G315" s="8" t="s">
        <v>2771</v>
      </c>
      <c r="H315" s="8" t="s">
        <v>5159</v>
      </c>
      <c r="I315" s="3">
        <v>30</v>
      </c>
      <c r="J315" s="3" t="s">
        <v>5310</v>
      </c>
      <c r="K315" s="17" t="str">
        <f>HYPERLINK("http://ictvonline.org/taxonomyHistory.asp?taxnode_id=20170358","ICTVonline=20170358")</f>
        <v>ICTVonline=20170358</v>
      </c>
      <c r="L315" s="3">
        <v>314</v>
      </c>
    </row>
    <row r="316" spans="1:12" x14ac:dyDescent="0.15">
      <c r="A316" s="1" t="s">
        <v>1341</v>
      </c>
      <c r="B316" s="1" t="s">
        <v>1342</v>
      </c>
      <c r="C316" s="1" t="s">
        <v>2883</v>
      </c>
      <c r="D316" s="1" t="s">
        <v>2893</v>
      </c>
      <c r="E316" s="1" t="s">
        <v>2895</v>
      </c>
      <c r="F316" s="3">
        <v>0</v>
      </c>
      <c r="G316" s="8" t="s">
        <v>2771</v>
      </c>
      <c r="H316" s="8" t="s">
        <v>5159</v>
      </c>
      <c r="I316" s="3">
        <v>30</v>
      </c>
      <c r="J316" s="3" t="s">
        <v>5310</v>
      </c>
      <c r="K316" s="17" t="str">
        <f>HYPERLINK("http://ictvonline.org/taxonomyHistory.asp?taxnode_id=20170359","ICTVonline=20170359")</f>
        <v>ICTVonline=20170359</v>
      </c>
      <c r="L316" s="3">
        <v>315</v>
      </c>
    </row>
    <row r="317" spans="1:12" x14ac:dyDescent="0.15">
      <c r="A317" s="1" t="s">
        <v>1341</v>
      </c>
      <c r="B317" s="1" t="s">
        <v>1342</v>
      </c>
      <c r="C317" s="1" t="s">
        <v>2883</v>
      </c>
      <c r="D317" s="1" t="s">
        <v>2893</v>
      </c>
      <c r="E317" s="1" t="s">
        <v>2896</v>
      </c>
      <c r="F317" s="3">
        <v>0</v>
      </c>
      <c r="G317" s="8" t="s">
        <v>2771</v>
      </c>
      <c r="H317" s="8" t="s">
        <v>5159</v>
      </c>
      <c r="I317" s="3">
        <v>30</v>
      </c>
      <c r="J317" s="3" t="s">
        <v>5310</v>
      </c>
      <c r="K317" s="17" t="str">
        <f>HYPERLINK("http://ictvonline.org/taxonomyHistory.asp?taxnode_id=20170360","ICTVonline=20170360")</f>
        <v>ICTVonline=20170360</v>
      </c>
      <c r="L317" s="3">
        <v>316</v>
      </c>
    </row>
    <row r="318" spans="1:12" x14ac:dyDescent="0.15">
      <c r="A318" s="1" t="s">
        <v>1341</v>
      </c>
      <c r="B318" s="1" t="s">
        <v>1342</v>
      </c>
      <c r="C318" s="1" t="s">
        <v>2883</v>
      </c>
      <c r="D318" s="1" t="s">
        <v>2893</v>
      </c>
      <c r="E318" s="1" t="s">
        <v>2897</v>
      </c>
      <c r="F318" s="3">
        <v>1</v>
      </c>
      <c r="G318" s="8" t="s">
        <v>2771</v>
      </c>
      <c r="H318" s="8" t="s">
        <v>5159</v>
      </c>
      <c r="I318" s="3">
        <v>30</v>
      </c>
      <c r="J318" s="3" t="s">
        <v>5310</v>
      </c>
      <c r="K318" s="17" t="str">
        <f>HYPERLINK("http://ictvonline.org/taxonomyHistory.asp?taxnode_id=20170361","ICTVonline=20170361")</f>
        <v>ICTVonline=20170361</v>
      </c>
      <c r="L318" s="3">
        <v>317</v>
      </c>
    </row>
    <row r="319" spans="1:12" x14ac:dyDescent="0.15">
      <c r="A319" s="1" t="s">
        <v>1341</v>
      </c>
      <c r="B319" s="1" t="s">
        <v>1342</v>
      </c>
      <c r="D319" s="1" t="s">
        <v>4401</v>
      </c>
      <c r="E319" s="1" t="s">
        <v>4402</v>
      </c>
      <c r="F319" s="3">
        <v>1</v>
      </c>
      <c r="G319" s="8" t="s">
        <v>2771</v>
      </c>
      <c r="H319" s="8" t="s">
        <v>5159</v>
      </c>
      <c r="I319" s="3">
        <v>31</v>
      </c>
      <c r="J319" s="3" t="s">
        <v>5311</v>
      </c>
      <c r="K319" s="17" t="str">
        <f>HYPERLINK("http://ictvonline.org/taxonomyHistory.asp?taxnode_id=20170364","ICTVonline=20170364")</f>
        <v>ICTVonline=20170364</v>
      </c>
      <c r="L319" s="3">
        <v>318</v>
      </c>
    </row>
    <row r="320" spans="1:12" x14ac:dyDescent="0.15">
      <c r="A320" s="1" t="s">
        <v>1341</v>
      </c>
      <c r="B320" s="1" t="s">
        <v>1342</v>
      </c>
      <c r="D320" s="1" t="s">
        <v>4401</v>
      </c>
      <c r="E320" s="1" t="s">
        <v>4403</v>
      </c>
      <c r="F320" s="3">
        <v>0</v>
      </c>
      <c r="G320" s="8" t="s">
        <v>2771</v>
      </c>
      <c r="H320" s="8" t="s">
        <v>5159</v>
      </c>
      <c r="I320" s="3">
        <v>31</v>
      </c>
      <c r="J320" s="3" t="s">
        <v>5311</v>
      </c>
      <c r="K320" s="17" t="str">
        <f>HYPERLINK("http://ictvonline.org/taxonomyHistory.asp?taxnode_id=20170365","ICTVonline=20170365")</f>
        <v>ICTVonline=20170365</v>
      </c>
      <c r="L320" s="3">
        <v>319</v>
      </c>
    </row>
    <row r="321" spans="1:12" x14ac:dyDescent="0.15">
      <c r="A321" s="1" t="s">
        <v>1341</v>
      </c>
      <c r="B321" s="1" t="s">
        <v>1342</v>
      </c>
      <c r="D321" s="1" t="s">
        <v>2898</v>
      </c>
      <c r="E321" s="1" t="s">
        <v>2899</v>
      </c>
      <c r="F321" s="3">
        <v>1</v>
      </c>
      <c r="G321" s="8" t="s">
        <v>2771</v>
      </c>
      <c r="H321" s="8" t="s">
        <v>5159</v>
      </c>
      <c r="I321" s="3">
        <v>30</v>
      </c>
      <c r="J321" s="3" t="s">
        <v>5312</v>
      </c>
      <c r="K321" s="17" t="str">
        <f>HYPERLINK("http://ictvonline.org/taxonomyHistory.asp?taxnode_id=20170367","ICTVonline=20170367")</f>
        <v>ICTVonline=20170367</v>
      </c>
      <c r="L321" s="3">
        <v>320</v>
      </c>
    </row>
    <row r="322" spans="1:12" x14ac:dyDescent="0.15">
      <c r="A322" s="1" t="s">
        <v>1341</v>
      </c>
      <c r="B322" s="1" t="s">
        <v>1342</v>
      </c>
      <c r="D322" s="1" t="s">
        <v>2898</v>
      </c>
      <c r="E322" s="1" t="s">
        <v>2900</v>
      </c>
      <c r="F322" s="3">
        <v>0</v>
      </c>
      <c r="G322" s="8" t="s">
        <v>2771</v>
      </c>
      <c r="H322" s="8" t="s">
        <v>5159</v>
      </c>
      <c r="I322" s="3">
        <v>30</v>
      </c>
      <c r="J322" s="3" t="s">
        <v>5312</v>
      </c>
      <c r="K322" s="17" t="str">
        <f>HYPERLINK("http://ictvonline.org/taxonomyHistory.asp?taxnode_id=20170368","ICTVonline=20170368")</f>
        <v>ICTVonline=20170368</v>
      </c>
      <c r="L322" s="3">
        <v>321</v>
      </c>
    </row>
    <row r="323" spans="1:12" x14ac:dyDescent="0.15">
      <c r="A323" s="1" t="s">
        <v>1341</v>
      </c>
      <c r="B323" s="1" t="s">
        <v>1342</v>
      </c>
      <c r="D323" s="1" t="s">
        <v>2898</v>
      </c>
      <c r="E323" s="1" t="s">
        <v>2901</v>
      </c>
      <c r="F323" s="3">
        <v>0</v>
      </c>
      <c r="G323" s="8" t="s">
        <v>2771</v>
      </c>
      <c r="H323" s="8" t="s">
        <v>5159</v>
      </c>
      <c r="I323" s="3">
        <v>30</v>
      </c>
      <c r="J323" s="3" t="s">
        <v>5312</v>
      </c>
      <c r="K323" s="17" t="str">
        <f>HYPERLINK("http://ictvonline.org/taxonomyHistory.asp?taxnode_id=20170369","ICTVonline=20170369")</f>
        <v>ICTVonline=20170369</v>
      </c>
      <c r="L323" s="3">
        <v>322</v>
      </c>
    </row>
    <row r="324" spans="1:12" x14ac:dyDescent="0.15">
      <c r="A324" s="1" t="s">
        <v>1341</v>
      </c>
      <c r="B324" s="1" t="s">
        <v>1342</v>
      </c>
      <c r="D324" s="1" t="s">
        <v>4404</v>
      </c>
      <c r="E324" s="1" t="s">
        <v>4405</v>
      </c>
      <c r="F324" s="3">
        <v>0</v>
      </c>
      <c r="G324" s="8" t="s">
        <v>2771</v>
      </c>
      <c r="H324" s="8" t="s">
        <v>5159</v>
      </c>
      <c r="I324" s="3">
        <v>31</v>
      </c>
      <c r="J324" s="3" t="s">
        <v>5313</v>
      </c>
      <c r="K324" s="17" t="str">
        <f>HYPERLINK("http://ictvonline.org/taxonomyHistory.asp?taxnode_id=20170371","ICTVonline=20170371")</f>
        <v>ICTVonline=20170371</v>
      </c>
      <c r="L324" s="3">
        <v>323</v>
      </c>
    </row>
    <row r="325" spans="1:12" x14ac:dyDescent="0.15">
      <c r="A325" s="1" t="s">
        <v>1341</v>
      </c>
      <c r="B325" s="1" t="s">
        <v>1342</v>
      </c>
      <c r="D325" s="1" t="s">
        <v>4404</v>
      </c>
      <c r="E325" s="1" t="s">
        <v>4406</v>
      </c>
      <c r="F325" s="3">
        <v>1</v>
      </c>
      <c r="G325" s="8" t="s">
        <v>2771</v>
      </c>
      <c r="H325" s="8" t="s">
        <v>5159</v>
      </c>
      <c r="I325" s="3">
        <v>31</v>
      </c>
      <c r="J325" s="3" t="s">
        <v>5313</v>
      </c>
      <c r="K325" s="17" t="str">
        <f>HYPERLINK("http://ictvonline.org/taxonomyHistory.asp?taxnode_id=20170372","ICTVonline=20170372")</f>
        <v>ICTVonline=20170372</v>
      </c>
      <c r="L325" s="3">
        <v>324</v>
      </c>
    </row>
    <row r="326" spans="1:12" x14ac:dyDescent="0.15">
      <c r="A326" s="1" t="s">
        <v>1341</v>
      </c>
      <c r="B326" s="1" t="s">
        <v>1342</v>
      </c>
      <c r="D326" s="1" t="s">
        <v>4404</v>
      </c>
      <c r="E326" s="1" t="s">
        <v>4407</v>
      </c>
      <c r="F326" s="3">
        <v>0</v>
      </c>
      <c r="G326" s="8" t="s">
        <v>2771</v>
      </c>
      <c r="H326" s="8" t="s">
        <v>5159</v>
      </c>
      <c r="I326" s="3">
        <v>31</v>
      </c>
      <c r="J326" s="3" t="s">
        <v>5313</v>
      </c>
      <c r="K326" s="17" t="str">
        <f>HYPERLINK("http://ictvonline.org/taxonomyHistory.asp?taxnode_id=20170373","ICTVonline=20170373")</f>
        <v>ICTVonline=20170373</v>
      </c>
      <c r="L326" s="3">
        <v>325</v>
      </c>
    </row>
    <row r="327" spans="1:12" x14ac:dyDescent="0.15">
      <c r="A327" s="1" t="s">
        <v>1341</v>
      </c>
      <c r="B327" s="1" t="s">
        <v>1342</v>
      </c>
      <c r="D327" s="1" t="s">
        <v>4404</v>
      </c>
      <c r="E327" s="1" t="s">
        <v>4408</v>
      </c>
      <c r="F327" s="3">
        <v>0</v>
      </c>
      <c r="G327" s="8" t="s">
        <v>2771</v>
      </c>
      <c r="H327" s="8" t="s">
        <v>5159</v>
      </c>
      <c r="I327" s="3">
        <v>31</v>
      </c>
      <c r="J327" s="3" t="s">
        <v>5313</v>
      </c>
      <c r="K327" s="17" t="str">
        <f>HYPERLINK("http://ictvonline.org/taxonomyHistory.asp?taxnode_id=20170374","ICTVonline=20170374")</f>
        <v>ICTVonline=20170374</v>
      </c>
      <c r="L327" s="3">
        <v>326</v>
      </c>
    </row>
    <row r="328" spans="1:12" x14ac:dyDescent="0.15">
      <c r="A328" s="1" t="s">
        <v>1341</v>
      </c>
      <c r="B328" s="1" t="s">
        <v>1342</v>
      </c>
      <c r="D328" s="1" t="s">
        <v>4404</v>
      </c>
      <c r="E328" s="1" t="s">
        <v>4409</v>
      </c>
      <c r="F328" s="3">
        <v>0</v>
      </c>
      <c r="G328" s="8" t="s">
        <v>2771</v>
      </c>
      <c r="H328" s="8" t="s">
        <v>5159</v>
      </c>
      <c r="I328" s="3">
        <v>31</v>
      </c>
      <c r="J328" s="3" t="s">
        <v>5313</v>
      </c>
      <c r="K328" s="17" t="str">
        <f>HYPERLINK("http://ictvonline.org/taxonomyHistory.asp?taxnode_id=20170375","ICTVonline=20170375")</f>
        <v>ICTVonline=20170375</v>
      </c>
      <c r="L328" s="3">
        <v>327</v>
      </c>
    </row>
    <row r="329" spans="1:12" x14ac:dyDescent="0.15">
      <c r="A329" s="1" t="s">
        <v>1341</v>
      </c>
      <c r="B329" s="1" t="s">
        <v>1342</v>
      </c>
      <c r="D329" s="1" t="s">
        <v>2902</v>
      </c>
      <c r="E329" s="1" t="s">
        <v>2903</v>
      </c>
      <c r="F329" s="3">
        <v>0</v>
      </c>
      <c r="G329" s="8" t="s">
        <v>2771</v>
      </c>
      <c r="H329" s="8" t="s">
        <v>5159</v>
      </c>
      <c r="I329" s="3">
        <v>30</v>
      </c>
      <c r="J329" s="3" t="s">
        <v>5314</v>
      </c>
      <c r="K329" s="17" t="str">
        <f>HYPERLINK("http://ictvonline.org/taxonomyHistory.asp?taxnode_id=20170377","ICTVonline=20170377")</f>
        <v>ICTVonline=20170377</v>
      </c>
      <c r="L329" s="3">
        <v>328</v>
      </c>
    </row>
    <row r="330" spans="1:12" x14ac:dyDescent="0.15">
      <c r="A330" s="1" t="s">
        <v>1341</v>
      </c>
      <c r="B330" s="1" t="s">
        <v>1342</v>
      </c>
      <c r="D330" s="1" t="s">
        <v>2902</v>
      </c>
      <c r="E330" s="1" t="s">
        <v>2904</v>
      </c>
      <c r="F330" s="3">
        <v>0</v>
      </c>
      <c r="G330" s="8" t="s">
        <v>2771</v>
      </c>
      <c r="H330" s="8" t="s">
        <v>5159</v>
      </c>
      <c r="I330" s="3">
        <v>30</v>
      </c>
      <c r="J330" s="3" t="s">
        <v>5314</v>
      </c>
      <c r="K330" s="17" t="str">
        <f>HYPERLINK("http://ictvonline.org/taxonomyHistory.asp?taxnode_id=20170378","ICTVonline=20170378")</f>
        <v>ICTVonline=20170378</v>
      </c>
      <c r="L330" s="3">
        <v>329</v>
      </c>
    </row>
    <row r="331" spans="1:12" x14ac:dyDescent="0.15">
      <c r="A331" s="1" t="s">
        <v>1341</v>
      </c>
      <c r="B331" s="1" t="s">
        <v>1342</v>
      </c>
      <c r="D331" s="1" t="s">
        <v>2902</v>
      </c>
      <c r="E331" s="1" t="s">
        <v>2905</v>
      </c>
      <c r="F331" s="3">
        <v>0</v>
      </c>
      <c r="G331" s="8" t="s">
        <v>2771</v>
      </c>
      <c r="H331" s="8" t="s">
        <v>5159</v>
      </c>
      <c r="I331" s="3">
        <v>30</v>
      </c>
      <c r="J331" s="3" t="s">
        <v>5314</v>
      </c>
      <c r="K331" s="17" t="str">
        <f>HYPERLINK("http://ictvonline.org/taxonomyHistory.asp?taxnode_id=20170379","ICTVonline=20170379")</f>
        <v>ICTVonline=20170379</v>
      </c>
      <c r="L331" s="3">
        <v>330</v>
      </c>
    </row>
    <row r="332" spans="1:12" x14ac:dyDescent="0.15">
      <c r="A332" s="1" t="s">
        <v>1341</v>
      </c>
      <c r="B332" s="1" t="s">
        <v>1342</v>
      </c>
      <c r="D332" s="1" t="s">
        <v>2902</v>
      </c>
      <c r="E332" s="1" t="s">
        <v>2906</v>
      </c>
      <c r="F332" s="3">
        <v>1</v>
      </c>
      <c r="G332" s="8" t="s">
        <v>2771</v>
      </c>
      <c r="H332" s="8" t="s">
        <v>5159</v>
      </c>
      <c r="I332" s="3">
        <v>30</v>
      </c>
      <c r="J332" s="3" t="s">
        <v>5314</v>
      </c>
      <c r="K332" s="17" t="str">
        <f>HYPERLINK("http://ictvonline.org/taxonomyHistory.asp?taxnode_id=20170380","ICTVonline=20170380")</f>
        <v>ICTVonline=20170380</v>
      </c>
      <c r="L332" s="3">
        <v>331</v>
      </c>
    </row>
    <row r="333" spans="1:12" x14ac:dyDescent="0.15">
      <c r="A333" s="1" t="s">
        <v>1341</v>
      </c>
      <c r="B333" s="1" t="s">
        <v>1342</v>
      </c>
      <c r="D333" s="1" t="s">
        <v>4410</v>
      </c>
      <c r="E333" s="1" t="s">
        <v>4411</v>
      </c>
      <c r="F333" s="3">
        <v>1</v>
      </c>
      <c r="G333" s="8" t="s">
        <v>2771</v>
      </c>
      <c r="H333" s="8" t="s">
        <v>5159</v>
      </c>
      <c r="I333" s="3">
        <v>31</v>
      </c>
      <c r="J333" s="3" t="s">
        <v>5315</v>
      </c>
      <c r="K333" s="17" t="str">
        <f>HYPERLINK("http://ictvonline.org/taxonomyHistory.asp?taxnode_id=20170382","ICTVonline=20170382")</f>
        <v>ICTVonline=20170382</v>
      </c>
      <c r="L333" s="3">
        <v>332</v>
      </c>
    </row>
    <row r="334" spans="1:12" x14ac:dyDescent="0.15">
      <c r="A334" s="1" t="s">
        <v>1341</v>
      </c>
      <c r="B334" s="1" t="s">
        <v>1342</v>
      </c>
      <c r="D334" s="1" t="s">
        <v>4410</v>
      </c>
      <c r="E334" s="1" t="s">
        <v>4412</v>
      </c>
      <c r="F334" s="3">
        <v>0</v>
      </c>
      <c r="G334" s="8" t="s">
        <v>2771</v>
      </c>
      <c r="H334" s="8" t="s">
        <v>5159</v>
      </c>
      <c r="I334" s="3">
        <v>31</v>
      </c>
      <c r="J334" s="3" t="s">
        <v>5315</v>
      </c>
      <c r="K334" s="17" t="str">
        <f>HYPERLINK("http://ictvonline.org/taxonomyHistory.asp?taxnode_id=20170383","ICTVonline=20170383")</f>
        <v>ICTVonline=20170383</v>
      </c>
      <c r="L334" s="3">
        <v>333</v>
      </c>
    </row>
    <row r="335" spans="1:12" x14ac:dyDescent="0.15">
      <c r="A335" s="1" t="s">
        <v>1341</v>
      </c>
      <c r="B335" s="1" t="s">
        <v>1342</v>
      </c>
      <c r="D335" s="1" t="s">
        <v>2907</v>
      </c>
      <c r="E335" s="1" t="s">
        <v>4413</v>
      </c>
      <c r="F335" s="3">
        <v>0</v>
      </c>
      <c r="G335" s="8" t="s">
        <v>2771</v>
      </c>
      <c r="H335" s="8" t="s">
        <v>5159</v>
      </c>
      <c r="I335" s="3">
        <v>31</v>
      </c>
      <c r="J335" s="3" t="s">
        <v>5298</v>
      </c>
      <c r="K335" s="17" t="str">
        <f>HYPERLINK("http://ictvonline.org/taxonomyHistory.asp?taxnode_id=20170385","ICTVonline=20170385")</f>
        <v>ICTVonline=20170385</v>
      </c>
      <c r="L335" s="3">
        <v>334</v>
      </c>
    </row>
    <row r="336" spans="1:12" x14ac:dyDescent="0.15">
      <c r="A336" s="1" t="s">
        <v>1341</v>
      </c>
      <c r="B336" s="1" t="s">
        <v>1342</v>
      </c>
      <c r="D336" s="1" t="s">
        <v>2907</v>
      </c>
      <c r="E336" s="1" t="s">
        <v>2908</v>
      </c>
      <c r="F336" s="3">
        <v>1</v>
      </c>
      <c r="G336" s="8" t="s">
        <v>2771</v>
      </c>
      <c r="H336" s="8" t="s">
        <v>5159</v>
      </c>
      <c r="I336" s="3">
        <v>30</v>
      </c>
      <c r="J336" s="3" t="s">
        <v>5316</v>
      </c>
      <c r="K336" s="17" t="str">
        <f>HYPERLINK("http://ictvonline.org/taxonomyHistory.asp?taxnode_id=20170386","ICTVonline=20170386")</f>
        <v>ICTVonline=20170386</v>
      </c>
      <c r="L336" s="3">
        <v>335</v>
      </c>
    </row>
    <row r="337" spans="1:12" x14ac:dyDescent="0.15">
      <c r="A337" s="1" t="s">
        <v>1341</v>
      </c>
      <c r="B337" s="1" t="s">
        <v>1342</v>
      </c>
      <c r="D337" s="1" t="s">
        <v>2907</v>
      </c>
      <c r="E337" s="1" t="s">
        <v>2909</v>
      </c>
      <c r="F337" s="3">
        <v>0</v>
      </c>
      <c r="G337" s="8" t="s">
        <v>2771</v>
      </c>
      <c r="H337" s="8" t="s">
        <v>5159</v>
      </c>
      <c r="I337" s="3">
        <v>30</v>
      </c>
      <c r="J337" s="3" t="s">
        <v>5316</v>
      </c>
      <c r="K337" s="17" t="str">
        <f>HYPERLINK("http://ictvonline.org/taxonomyHistory.asp?taxnode_id=20170387","ICTVonline=20170387")</f>
        <v>ICTVonline=20170387</v>
      </c>
      <c r="L337" s="3">
        <v>336</v>
      </c>
    </row>
    <row r="338" spans="1:12" x14ac:dyDescent="0.15">
      <c r="A338" s="1" t="s">
        <v>1341</v>
      </c>
      <c r="B338" s="1" t="s">
        <v>1342</v>
      </c>
      <c r="D338" s="1" t="s">
        <v>2907</v>
      </c>
      <c r="E338" s="1" t="s">
        <v>2910</v>
      </c>
      <c r="F338" s="3">
        <v>0</v>
      </c>
      <c r="G338" s="8" t="s">
        <v>2771</v>
      </c>
      <c r="H338" s="8" t="s">
        <v>5159</v>
      </c>
      <c r="I338" s="3">
        <v>30</v>
      </c>
      <c r="J338" s="3" t="s">
        <v>5316</v>
      </c>
      <c r="K338" s="17" t="str">
        <f>HYPERLINK("http://ictvonline.org/taxonomyHistory.asp?taxnode_id=20170388","ICTVonline=20170388")</f>
        <v>ICTVonline=20170388</v>
      </c>
      <c r="L338" s="3">
        <v>337</v>
      </c>
    </row>
    <row r="339" spans="1:12" x14ac:dyDescent="0.15">
      <c r="A339" s="1" t="s">
        <v>1341</v>
      </c>
      <c r="B339" s="1" t="s">
        <v>1342</v>
      </c>
      <c r="D339" s="1" t="s">
        <v>2907</v>
      </c>
      <c r="E339" s="1" t="s">
        <v>2911</v>
      </c>
      <c r="F339" s="3">
        <v>0</v>
      </c>
      <c r="G339" s="8" t="s">
        <v>2771</v>
      </c>
      <c r="H339" s="8" t="s">
        <v>5159</v>
      </c>
      <c r="I339" s="3">
        <v>30</v>
      </c>
      <c r="J339" s="3" t="s">
        <v>5316</v>
      </c>
      <c r="K339" s="17" t="str">
        <f>HYPERLINK("http://ictvonline.org/taxonomyHistory.asp?taxnode_id=20170389","ICTVonline=20170389")</f>
        <v>ICTVonline=20170389</v>
      </c>
      <c r="L339" s="3">
        <v>338</v>
      </c>
    </row>
    <row r="340" spans="1:12" x14ac:dyDescent="0.15">
      <c r="A340" s="1" t="s">
        <v>1341</v>
      </c>
      <c r="B340" s="1" t="s">
        <v>1342</v>
      </c>
      <c r="D340" s="1" t="s">
        <v>2907</v>
      </c>
      <c r="E340" s="1" t="s">
        <v>2912</v>
      </c>
      <c r="F340" s="3">
        <v>0</v>
      </c>
      <c r="G340" s="8" t="s">
        <v>2771</v>
      </c>
      <c r="H340" s="8" t="s">
        <v>5159</v>
      </c>
      <c r="I340" s="3">
        <v>30</v>
      </c>
      <c r="J340" s="3" t="s">
        <v>5316</v>
      </c>
      <c r="K340" s="17" t="str">
        <f>HYPERLINK("http://ictvonline.org/taxonomyHistory.asp?taxnode_id=20170390","ICTVonline=20170390")</f>
        <v>ICTVonline=20170390</v>
      </c>
      <c r="L340" s="3">
        <v>339</v>
      </c>
    </row>
    <row r="341" spans="1:12" x14ac:dyDescent="0.15">
      <c r="A341" s="1" t="s">
        <v>1341</v>
      </c>
      <c r="B341" s="1" t="s">
        <v>1342</v>
      </c>
      <c r="D341" s="1" t="s">
        <v>2913</v>
      </c>
      <c r="E341" s="1" t="s">
        <v>2914</v>
      </c>
      <c r="F341" s="3">
        <v>1</v>
      </c>
      <c r="G341" s="8" t="s">
        <v>2771</v>
      </c>
      <c r="H341" s="8" t="s">
        <v>5159</v>
      </c>
      <c r="I341" s="3">
        <v>30</v>
      </c>
      <c r="J341" s="3" t="s">
        <v>5317</v>
      </c>
      <c r="K341" s="17" t="str">
        <f>HYPERLINK("http://ictvonline.org/taxonomyHistory.asp?taxnode_id=20170392","ICTVonline=20170392")</f>
        <v>ICTVonline=20170392</v>
      </c>
      <c r="L341" s="3">
        <v>340</v>
      </c>
    </row>
    <row r="342" spans="1:12" x14ac:dyDescent="0.15">
      <c r="A342" s="1" t="s">
        <v>1341</v>
      </c>
      <c r="B342" s="1" t="s">
        <v>1342</v>
      </c>
      <c r="D342" s="1" t="s">
        <v>2913</v>
      </c>
      <c r="E342" s="1" t="s">
        <v>2915</v>
      </c>
      <c r="F342" s="3">
        <v>0</v>
      </c>
      <c r="G342" s="8" t="s">
        <v>2771</v>
      </c>
      <c r="H342" s="8" t="s">
        <v>5159</v>
      </c>
      <c r="I342" s="3">
        <v>30</v>
      </c>
      <c r="J342" s="3" t="s">
        <v>5317</v>
      </c>
      <c r="K342" s="17" t="str">
        <f>HYPERLINK("http://ictvonline.org/taxonomyHistory.asp?taxnode_id=20170393","ICTVonline=20170393")</f>
        <v>ICTVonline=20170393</v>
      </c>
      <c r="L342" s="3">
        <v>341</v>
      </c>
    </row>
    <row r="343" spans="1:12" x14ac:dyDescent="0.15">
      <c r="A343" s="1" t="s">
        <v>1341</v>
      </c>
      <c r="B343" s="1" t="s">
        <v>1342</v>
      </c>
      <c r="D343" s="1" t="s">
        <v>2916</v>
      </c>
      <c r="E343" s="1" t="s">
        <v>2917</v>
      </c>
      <c r="F343" s="3">
        <v>1</v>
      </c>
      <c r="G343" s="8" t="s">
        <v>2771</v>
      </c>
      <c r="H343" s="8" t="s">
        <v>5159</v>
      </c>
      <c r="I343" s="3">
        <v>30</v>
      </c>
      <c r="J343" s="3" t="s">
        <v>5318</v>
      </c>
      <c r="K343" s="17" t="str">
        <f>HYPERLINK("http://ictvonline.org/taxonomyHistory.asp?taxnode_id=20170395","ICTVonline=20170395")</f>
        <v>ICTVonline=20170395</v>
      </c>
      <c r="L343" s="3">
        <v>342</v>
      </c>
    </row>
    <row r="344" spans="1:12" x14ac:dyDescent="0.15">
      <c r="A344" s="1" t="s">
        <v>1341</v>
      </c>
      <c r="B344" s="1" t="s">
        <v>1342</v>
      </c>
      <c r="D344" s="1" t="s">
        <v>2916</v>
      </c>
      <c r="E344" s="1" t="s">
        <v>2918</v>
      </c>
      <c r="F344" s="3">
        <v>0</v>
      </c>
      <c r="G344" s="8" t="s">
        <v>2771</v>
      </c>
      <c r="H344" s="8" t="s">
        <v>5159</v>
      </c>
      <c r="I344" s="3">
        <v>30</v>
      </c>
      <c r="J344" s="3" t="s">
        <v>5318</v>
      </c>
      <c r="K344" s="17" t="str">
        <f>HYPERLINK("http://ictvonline.org/taxonomyHistory.asp?taxnode_id=20170396","ICTVonline=20170396")</f>
        <v>ICTVonline=20170396</v>
      </c>
      <c r="L344" s="3">
        <v>343</v>
      </c>
    </row>
    <row r="345" spans="1:12" x14ac:dyDescent="0.15">
      <c r="A345" s="1" t="s">
        <v>1341</v>
      </c>
      <c r="B345" s="1" t="s">
        <v>1342</v>
      </c>
      <c r="D345" s="1" t="s">
        <v>2916</v>
      </c>
      <c r="E345" s="1" t="s">
        <v>2919</v>
      </c>
      <c r="F345" s="3">
        <v>0</v>
      </c>
      <c r="G345" s="8" t="s">
        <v>2771</v>
      </c>
      <c r="H345" s="8" t="s">
        <v>5159</v>
      </c>
      <c r="I345" s="3">
        <v>30</v>
      </c>
      <c r="J345" s="3" t="s">
        <v>5318</v>
      </c>
      <c r="K345" s="17" t="str">
        <f>HYPERLINK("http://ictvonline.org/taxonomyHistory.asp?taxnode_id=20170397","ICTVonline=20170397")</f>
        <v>ICTVonline=20170397</v>
      </c>
      <c r="L345" s="3">
        <v>344</v>
      </c>
    </row>
    <row r="346" spans="1:12" x14ac:dyDescent="0.15">
      <c r="A346" s="1" t="s">
        <v>1341</v>
      </c>
      <c r="B346" s="1" t="s">
        <v>1342</v>
      </c>
      <c r="D346" s="1" t="s">
        <v>2916</v>
      </c>
      <c r="E346" s="1" t="s">
        <v>4414</v>
      </c>
      <c r="F346" s="3">
        <v>0</v>
      </c>
      <c r="G346" s="8" t="s">
        <v>2771</v>
      </c>
      <c r="H346" s="8" t="s">
        <v>5159</v>
      </c>
      <c r="I346" s="3">
        <v>31</v>
      </c>
      <c r="J346" s="3" t="s">
        <v>5298</v>
      </c>
      <c r="K346" s="17" t="str">
        <f>HYPERLINK("http://ictvonline.org/taxonomyHistory.asp?taxnode_id=20170398","ICTVonline=20170398")</f>
        <v>ICTVonline=20170398</v>
      </c>
      <c r="L346" s="3">
        <v>345</v>
      </c>
    </row>
    <row r="347" spans="1:12" x14ac:dyDescent="0.15">
      <c r="A347" s="1" t="s">
        <v>1341</v>
      </c>
      <c r="B347" s="1" t="s">
        <v>1342</v>
      </c>
      <c r="D347" s="1" t="s">
        <v>2916</v>
      </c>
      <c r="E347" s="1" t="s">
        <v>4415</v>
      </c>
      <c r="F347" s="3">
        <v>0</v>
      </c>
      <c r="G347" s="8" t="s">
        <v>2771</v>
      </c>
      <c r="H347" s="8" t="s">
        <v>5159</v>
      </c>
      <c r="I347" s="3">
        <v>31</v>
      </c>
      <c r="J347" s="3" t="s">
        <v>5298</v>
      </c>
      <c r="K347" s="17" t="str">
        <f>HYPERLINK("http://ictvonline.org/taxonomyHistory.asp?taxnode_id=20170399","ICTVonline=20170399")</f>
        <v>ICTVonline=20170399</v>
      </c>
      <c r="L347" s="3">
        <v>346</v>
      </c>
    </row>
    <row r="348" spans="1:12" x14ac:dyDescent="0.15">
      <c r="A348" s="1" t="s">
        <v>1341</v>
      </c>
      <c r="B348" s="1" t="s">
        <v>1342</v>
      </c>
      <c r="D348" s="1" t="s">
        <v>2916</v>
      </c>
      <c r="E348" s="1" t="s">
        <v>2920</v>
      </c>
      <c r="F348" s="3">
        <v>0</v>
      </c>
      <c r="G348" s="8" t="s">
        <v>2771</v>
      </c>
      <c r="H348" s="8" t="s">
        <v>5159</v>
      </c>
      <c r="I348" s="3">
        <v>30</v>
      </c>
      <c r="J348" s="3" t="s">
        <v>5318</v>
      </c>
      <c r="K348" s="17" t="str">
        <f>HYPERLINK("http://ictvonline.org/taxonomyHistory.asp?taxnode_id=20170400","ICTVonline=20170400")</f>
        <v>ICTVonline=20170400</v>
      </c>
      <c r="L348" s="3">
        <v>347</v>
      </c>
    </row>
    <row r="349" spans="1:12" x14ac:dyDescent="0.15">
      <c r="A349" s="1" t="s">
        <v>1341</v>
      </c>
      <c r="B349" s="1" t="s">
        <v>1342</v>
      </c>
      <c r="D349" s="1" t="s">
        <v>2921</v>
      </c>
      <c r="E349" s="1" t="s">
        <v>2922</v>
      </c>
      <c r="F349" s="3">
        <v>0</v>
      </c>
      <c r="G349" s="8" t="s">
        <v>2771</v>
      </c>
      <c r="H349" s="8" t="s">
        <v>5160</v>
      </c>
      <c r="I349" s="3">
        <v>30</v>
      </c>
      <c r="J349" s="3" t="s">
        <v>5297</v>
      </c>
      <c r="K349" s="17" t="str">
        <f>HYPERLINK("http://ictvonline.org/taxonomyHistory.asp?taxnode_id=20170402","ICTVonline=20170402")</f>
        <v>ICTVonline=20170402</v>
      </c>
      <c r="L349" s="3">
        <v>348</v>
      </c>
    </row>
    <row r="350" spans="1:12" x14ac:dyDescent="0.15">
      <c r="A350" s="1" t="s">
        <v>1341</v>
      </c>
      <c r="B350" s="1" t="s">
        <v>1342</v>
      </c>
      <c r="D350" s="1" t="s">
        <v>2921</v>
      </c>
      <c r="E350" s="1" t="s">
        <v>2923</v>
      </c>
      <c r="F350" s="3">
        <v>0</v>
      </c>
      <c r="G350" s="8" t="s">
        <v>2771</v>
      </c>
      <c r="H350" s="8" t="s">
        <v>5160</v>
      </c>
      <c r="I350" s="3">
        <v>30</v>
      </c>
      <c r="J350" s="3" t="s">
        <v>5297</v>
      </c>
      <c r="K350" s="17" t="str">
        <f>HYPERLINK("http://ictvonline.org/taxonomyHistory.asp?taxnode_id=20170403","ICTVonline=20170403")</f>
        <v>ICTVonline=20170403</v>
      </c>
      <c r="L350" s="3">
        <v>349</v>
      </c>
    </row>
    <row r="351" spans="1:12" x14ac:dyDescent="0.15">
      <c r="A351" s="1" t="s">
        <v>1341</v>
      </c>
      <c r="B351" s="1" t="s">
        <v>1342</v>
      </c>
      <c r="D351" s="1" t="s">
        <v>2921</v>
      </c>
      <c r="E351" s="1" t="s">
        <v>2924</v>
      </c>
      <c r="F351" s="3">
        <v>1</v>
      </c>
      <c r="G351" s="8" t="s">
        <v>2771</v>
      </c>
      <c r="H351" s="8" t="s">
        <v>5160</v>
      </c>
      <c r="I351" s="3">
        <v>30</v>
      </c>
      <c r="J351" s="3" t="s">
        <v>5297</v>
      </c>
      <c r="K351" s="17" t="str">
        <f>HYPERLINK("http://ictvonline.org/taxonomyHistory.asp?taxnode_id=20170404","ICTVonline=20170404")</f>
        <v>ICTVonline=20170404</v>
      </c>
      <c r="L351" s="3">
        <v>350</v>
      </c>
    </row>
    <row r="352" spans="1:12" x14ac:dyDescent="0.15">
      <c r="A352" s="1" t="s">
        <v>1341</v>
      </c>
      <c r="B352" s="1" t="s">
        <v>1342</v>
      </c>
      <c r="D352" s="1" t="s">
        <v>2921</v>
      </c>
      <c r="E352" s="1" t="s">
        <v>2925</v>
      </c>
      <c r="F352" s="3">
        <v>0</v>
      </c>
      <c r="G352" s="8" t="s">
        <v>2771</v>
      </c>
      <c r="H352" s="8" t="s">
        <v>5160</v>
      </c>
      <c r="I352" s="3">
        <v>30</v>
      </c>
      <c r="J352" s="3" t="s">
        <v>5297</v>
      </c>
      <c r="K352" s="17" t="str">
        <f>HYPERLINK("http://ictvonline.org/taxonomyHistory.asp?taxnode_id=20170405","ICTVonline=20170405")</f>
        <v>ICTVonline=20170405</v>
      </c>
      <c r="L352" s="3">
        <v>351</v>
      </c>
    </row>
    <row r="353" spans="1:12" x14ac:dyDescent="0.15">
      <c r="A353" s="1" t="s">
        <v>1341</v>
      </c>
      <c r="B353" s="1" t="s">
        <v>1342</v>
      </c>
      <c r="D353" s="1" t="s">
        <v>2921</v>
      </c>
      <c r="E353" s="1" t="s">
        <v>2926</v>
      </c>
      <c r="F353" s="3">
        <v>0</v>
      </c>
      <c r="G353" s="8" t="s">
        <v>2771</v>
      </c>
      <c r="H353" s="8" t="s">
        <v>5160</v>
      </c>
      <c r="I353" s="3">
        <v>30</v>
      </c>
      <c r="J353" s="3" t="s">
        <v>5297</v>
      </c>
      <c r="K353" s="17" t="str">
        <f>HYPERLINK("http://ictvonline.org/taxonomyHistory.asp?taxnode_id=20170406","ICTVonline=20170406")</f>
        <v>ICTVonline=20170406</v>
      </c>
      <c r="L353" s="3">
        <v>352</v>
      </c>
    </row>
    <row r="354" spans="1:12" x14ac:dyDescent="0.15">
      <c r="A354" s="1" t="s">
        <v>1341</v>
      </c>
      <c r="B354" s="1" t="s">
        <v>1342</v>
      </c>
      <c r="D354" s="1" t="s">
        <v>2927</v>
      </c>
      <c r="E354" s="1" t="s">
        <v>2928</v>
      </c>
      <c r="F354" s="3">
        <v>1</v>
      </c>
      <c r="G354" s="8" t="s">
        <v>2771</v>
      </c>
      <c r="H354" s="8" t="s">
        <v>5160</v>
      </c>
      <c r="I354" s="3">
        <v>30</v>
      </c>
      <c r="J354" s="3" t="s">
        <v>5297</v>
      </c>
      <c r="K354" s="17" t="str">
        <f>HYPERLINK("http://ictvonline.org/taxonomyHistory.asp?taxnode_id=20170408","ICTVonline=20170408")</f>
        <v>ICTVonline=20170408</v>
      </c>
      <c r="L354" s="3">
        <v>353</v>
      </c>
    </row>
    <row r="355" spans="1:12" x14ac:dyDescent="0.15">
      <c r="A355" s="1" t="s">
        <v>1341</v>
      </c>
      <c r="B355" s="1" t="s">
        <v>1342</v>
      </c>
      <c r="D355" s="1" t="s">
        <v>2927</v>
      </c>
      <c r="E355" s="1" t="s">
        <v>2929</v>
      </c>
      <c r="F355" s="3">
        <v>0</v>
      </c>
      <c r="G355" s="8" t="s">
        <v>2771</v>
      </c>
      <c r="H355" s="8" t="s">
        <v>5160</v>
      </c>
      <c r="I355" s="3">
        <v>30</v>
      </c>
      <c r="J355" s="3" t="s">
        <v>5297</v>
      </c>
      <c r="K355" s="17" t="str">
        <f>HYPERLINK("http://ictvonline.org/taxonomyHistory.asp?taxnode_id=20170409","ICTVonline=20170409")</f>
        <v>ICTVonline=20170409</v>
      </c>
      <c r="L355" s="3">
        <v>354</v>
      </c>
    </row>
    <row r="356" spans="1:12" x14ac:dyDescent="0.15">
      <c r="A356" s="1" t="s">
        <v>1341</v>
      </c>
      <c r="B356" s="1" t="s">
        <v>1342</v>
      </c>
      <c r="D356" s="1" t="s">
        <v>2930</v>
      </c>
      <c r="E356" s="1" t="s">
        <v>2931</v>
      </c>
      <c r="F356" s="3">
        <v>1</v>
      </c>
      <c r="G356" s="8" t="s">
        <v>2771</v>
      </c>
      <c r="H356" s="8" t="s">
        <v>5160</v>
      </c>
      <c r="I356" s="3">
        <v>30</v>
      </c>
      <c r="J356" s="3" t="s">
        <v>5305</v>
      </c>
      <c r="K356" s="17" t="str">
        <f>HYPERLINK("http://ictvonline.org/taxonomyHistory.asp?taxnode_id=20170411","ICTVonline=20170411")</f>
        <v>ICTVonline=20170411</v>
      </c>
      <c r="L356" s="3">
        <v>355</v>
      </c>
    </row>
    <row r="357" spans="1:12" x14ac:dyDescent="0.15">
      <c r="A357" s="1" t="s">
        <v>1341</v>
      </c>
      <c r="B357" s="1" t="s">
        <v>1342</v>
      </c>
      <c r="D357" s="1" t="s">
        <v>2932</v>
      </c>
      <c r="E357" s="1" t="s">
        <v>4416</v>
      </c>
      <c r="F357" s="3">
        <v>0</v>
      </c>
      <c r="G357" s="8" t="s">
        <v>2771</v>
      </c>
      <c r="H357" s="8" t="s">
        <v>5159</v>
      </c>
      <c r="I357" s="3">
        <v>31</v>
      </c>
      <c r="J357" s="3" t="s">
        <v>5319</v>
      </c>
      <c r="K357" s="17" t="str">
        <f>HYPERLINK("http://ictvonline.org/taxonomyHistory.asp?taxnode_id=20170413","ICTVonline=20170413")</f>
        <v>ICTVonline=20170413</v>
      </c>
      <c r="L357" s="3">
        <v>356</v>
      </c>
    </row>
    <row r="358" spans="1:12" x14ac:dyDescent="0.15">
      <c r="A358" s="1" t="s">
        <v>1341</v>
      </c>
      <c r="B358" s="1" t="s">
        <v>1342</v>
      </c>
      <c r="D358" s="1" t="s">
        <v>2932</v>
      </c>
      <c r="E358" s="1" t="s">
        <v>4417</v>
      </c>
      <c r="F358" s="3">
        <v>0</v>
      </c>
      <c r="G358" s="8" t="s">
        <v>2771</v>
      </c>
      <c r="H358" s="8" t="s">
        <v>5159</v>
      </c>
      <c r="I358" s="3">
        <v>31</v>
      </c>
      <c r="J358" s="3" t="s">
        <v>5319</v>
      </c>
      <c r="K358" s="17" t="str">
        <f>HYPERLINK("http://ictvonline.org/taxonomyHistory.asp?taxnode_id=20170414","ICTVonline=20170414")</f>
        <v>ICTVonline=20170414</v>
      </c>
      <c r="L358" s="3">
        <v>357</v>
      </c>
    </row>
    <row r="359" spans="1:12" x14ac:dyDescent="0.15">
      <c r="A359" s="1" t="s">
        <v>1341</v>
      </c>
      <c r="B359" s="1" t="s">
        <v>1342</v>
      </c>
      <c r="D359" s="1" t="s">
        <v>2932</v>
      </c>
      <c r="E359" s="1" t="s">
        <v>4418</v>
      </c>
      <c r="F359" s="3">
        <v>0</v>
      </c>
      <c r="G359" s="8" t="s">
        <v>2771</v>
      </c>
      <c r="H359" s="8" t="s">
        <v>5159</v>
      </c>
      <c r="I359" s="3">
        <v>31</v>
      </c>
      <c r="J359" s="3" t="s">
        <v>5319</v>
      </c>
      <c r="K359" s="17" t="str">
        <f>HYPERLINK("http://ictvonline.org/taxonomyHistory.asp?taxnode_id=20170415","ICTVonline=20170415")</f>
        <v>ICTVonline=20170415</v>
      </c>
      <c r="L359" s="3">
        <v>358</v>
      </c>
    </row>
    <row r="360" spans="1:12" x14ac:dyDescent="0.15">
      <c r="A360" s="1" t="s">
        <v>1341</v>
      </c>
      <c r="B360" s="1" t="s">
        <v>1342</v>
      </c>
      <c r="D360" s="1" t="s">
        <v>2932</v>
      </c>
      <c r="E360" s="1" t="s">
        <v>4419</v>
      </c>
      <c r="F360" s="3">
        <v>0</v>
      </c>
      <c r="G360" s="8" t="s">
        <v>2771</v>
      </c>
      <c r="H360" s="8" t="s">
        <v>5159</v>
      </c>
      <c r="I360" s="3">
        <v>31</v>
      </c>
      <c r="J360" s="3" t="s">
        <v>5319</v>
      </c>
      <c r="K360" s="17" t="str">
        <f>HYPERLINK("http://ictvonline.org/taxonomyHistory.asp?taxnode_id=20170416","ICTVonline=20170416")</f>
        <v>ICTVonline=20170416</v>
      </c>
      <c r="L360" s="3">
        <v>359</v>
      </c>
    </row>
    <row r="361" spans="1:12" x14ac:dyDescent="0.15">
      <c r="A361" s="1" t="s">
        <v>1341</v>
      </c>
      <c r="B361" s="1" t="s">
        <v>1342</v>
      </c>
      <c r="D361" s="1" t="s">
        <v>2932</v>
      </c>
      <c r="E361" s="1" t="s">
        <v>2933</v>
      </c>
      <c r="F361" s="3">
        <v>1</v>
      </c>
      <c r="G361" s="8" t="s">
        <v>2771</v>
      </c>
      <c r="H361" s="8" t="s">
        <v>5160</v>
      </c>
      <c r="I361" s="3">
        <v>30</v>
      </c>
      <c r="J361" s="3" t="s">
        <v>5297</v>
      </c>
      <c r="K361" s="17" t="str">
        <f>HYPERLINK("http://ictvonline.org/taxonomyHistory.asp?taxnode_id=20170417","ICTVonline=20170417")</f>
        <v>ICTVonline=20170417</v>
      </c>
      <c r="L361" s="3">
        <v>360</v>
      </c>
    </row>
    <row r="362" spans="1:12" x14ac:dyDescent="0.15">
      <c r="A362" s="1" t="s">
        <v>1341</v>
      </c>
      <c r="B362" s="1" t="s">
        <v>1342</v>
      </c>
      <c r="D362" s="1" t="s">
        <v>2932</v>
      </c>
      <c r="E362" s="1" t="s">
        <v>4420</v>
      </c>
      <c r="F362" s="3">
        <v>0</v>
      </c>
      <c r="G362" s="8" t="s">
        <v>2771</v>
      </c>
      <c r="H362" s="8" t="s">
        <v>5159</v>
      </c>
      <c r="I362" s="3">
        <v>31</v>
      </c>
      <c r="J362" s="3" t="s">
        <v>5319</v>
      </c>
      <c r="K362" s="17" t="str">
        <f>HYPERLINK("http://ictvonline.org/taxonomyHistory.asp?taxnode_id=20170418","ICTVonline=20170418")</f>
        <v>ICTVonline=20170418</v>
      </c>
      <c r="L362" s="3">
        <v>361</v>
      </c>
    </row>
    <row r="363" spans="1:12" x14ac:dyDescent="0.15">
      <c r="A363" s="1" t="s">
        <v>1341</v>
      </c>
      <c r="B363" s="1" t="s">
        <v>1342</v>
      </c>
      <c r="D363" s="1" t="s">
        <v>2932</v>
      </c>
      <c r="E363" s="1" t="s">
        <v>4421</v>
      </c>
      <c r="F363" s="3">
        <v>0</v>
      </c>
      <c r="G363" s="8" t="s">
        <v>2771</v>
      </c>
      <c r="H363" s="8" t="s">
        <v>5159</v>
      </c>
      <c r="I363" s="3">
        <v>31</v>
      </c>
      <c r="J363" s="3" t="s">
        <v>5319</v>
      </c>
      <c r="K363" s="17" t="str">
        <f>HYPERLINK("http://ictvonline.org/taxonomyHistory.asp?taxnode_id=20170419","ICTVonline=20170419")</f>
        <v>ICTVonline=20170419</v>
      </c>
      <c r="L363" s="3">
        <v>362</v>
      </c>
    </row>
    <row r="364" spans="1:12" x14ac:dyDescent="0.15">
      <c r="A364" s="1" t="s">
        <v>1341</v>
      </c>
      <c r="B364" s="1" t="s">
        <v>1342</v>
      </c>
      <c r="D364" s="1" t="s">
        <v>2934</v>
      </c>
      <c r="E364" s="1" t="s">
        <v>2935</v>
      </c>
      <c r="F364" s="3">
        <v>0</v>
      </c>
      <c r="G364" s="8" t="s">
        <v>2771</v>
      </c>
      <c r="H364" s="8" t="s">
        <v>5160</v>
      </c>
      <c r="I364" s="3">
        <v>30</v>
      </c>
      <c r="J364" s="3" t="s">
        <v>5297</v>
      </c>
      <c r="K364" s="17" t="str">
        <f>HYPERLINK("http://ictvonline.org/taxonomyHistory.asp?taxnode_id=20170421","ICTVonline=20170421")</f>
        <v>ICTVonline=20170421</v>
      </c>
      <c r="L364" s="3">
        <v>363</v>
      </c>
    </row>
    <row r="365" spans="1:12" x14ac:dyDescent="0.15">
      <c r="A365" s="1" t="s">
        <v>1341</v>
      </c>
      <c r="B365" s="1" t="s">
        <v>1342</v>
      </c>
      <c r="D365" s="1" t="s">
        <v>2934</v>
      </c>
      <c r="E365" s="1" t="s">
        <v>2936</v>
      </c>
      <c r="F365" s="3">
        <v>0</v>
      </c>
      <c r="G365" s="8" t="s">
        <v>2771</v>
      </c>
      <c r="H365" s="8" t="s">
        <v>5160</v>
      </c>
      <c r="I365" s="3">
        <v>30</v>
      </c>
      <c r="J365" s="3" t="s">
        <v>5297</v>
      </c>
      <c r="K365" s="17" t="str">
        <f>HYPERLINK("http://ictvonline.org/taxonomyHistory.asp?taxnode_id=20170422","ICTVonline=20170422")</f>
        <v>ICTVonline=20170422</v>
      </c>
      <c r="L365" s="3">
        <v>364</v>
      </c>
    </row>
    <row r="366" spans="1:12" x14ac:dyDescent="0.15">
      <c r="A366" s="1" t="s">
        <v>1341</v>
      </c>
      <c r="B366" s="1" t="s">
        <v>1342</v>
      </c>
      <c r="D366" s="1" t="s">
        <v>2934</v>
      </c>
      <c r="E366" s="1" t="s">
        <v>2937</v>
      </c>
      <c r="F366" s="3">
        <v>1</v>
      </c>
      <c r="G366" s="8" t="s">
        <v>2771</v>
      </c>
      <c r="H366" s="8" t="s">
        <v>5160</v>
      </c>
      <c r="I366" s="3">
        <v>30</v>
      </c>
      <c r="J366" s="3" t="s">
        <v>5297</v>
      </c>
      <c r="K366" s="17" t="str">
        <f>HYPERLINK("http://ictvonline.org/taxonomyHistory.asp?taxnode_id=20170423","ICTVonline=20170423")</f>
        <v>ICTVonline=20170423</v>
      </c>
      <c r="L366" s="3">
        <v>365</v>
      </c>
    </row>
    <row r="367" spans="1:12" x14ac:dyDescent="0.15">
      <c r="A367" s="1" t="s">
        <v>1341</v>
      </c>
      <c r="B367" s="1" t="s">
        <v>1342</v>
      </c>
      <c r="D367" s="1" t="s">
        <v>2938</v>
      </c>
      <c r="E367" s="1" t="s">
        <v>2939</v>
      </c>
      <c r="F367" s="3">
        <v>1</v>
      </c>
      <c r="G367" s="8" t="s">
        <v>2771</v>
      </c>
      <c r="H367" s="8" t="s">
        <v>5159</v>
      </c>
      <c r="I367" s="3">
        <v>30</v>
      </c>
      <c r="J367" s="3" t="s">
        <v>5320</v>
      </c>
      <c r="K367" s="17" t="str">
        <f>HYPERLINK("http://ictvonline.org/taxonomyHistory.asp?taxnode_id=20170425","ICTVonline=20170425")</f>
        <v>ICTVonline=20170425</v>
      </c>
      <c r="L367" s="3">
        <v>366</v>
      </c>
    </row>
    <row r="368" spans="1:12" x14ac:dyDescent="0.15">
      <c r="A368" s="1" t="s">
        <v>1341</v>
      </c>
      <c r="B368" s="1" t="s">
        <v>1342</v>
      </c>
      <c r="D368" s="1" t="s">
        <v>2938</v>
      </c>
      <c r="E368" s="1" t="s">
        <v>2940</v>
      </c>
      <c r="F368" s="3">
        <v>0</v>
      </c>
      <c r="G368" s="8" t="s">
        <v>2771</v>
      </c>
      <c r="H368" s="8" t="s">
        <v>5159</v>
      </c>
      <c r="I368" s="3">
        <v>30</v>
      </c>
      <c r="J368" s="3" t="s">
        <v>5320</v>
      </c>
      <c r="K368" s="17" t="str">
        <f>HYPERLINK("http://ictvonline.org/taxonomyHistory.asp?taxnode_id=20170426","ICTVonline=20170426")</f>
        <v>ICTVonline=20170426</v>
      </c>
      <c r="L368" s="3">
        <v>367</v>
      </c>
    </row>
    <row r="369" spans="1:12" x14ac:dyDescent="0.15">
      <c r="A369" s="1" t="s">
        <v>1341</v>
      </c>
      <c r="B369" s="1" t="s">
        <v>1342</v>
      </c>
      <c r="D369" s="1" t="s">
        <v>2938</v>
      </c>
      <c r="E369" s="1" t="s">
        <v>2941</v>
      </c>
      <c r="F369" s="3">
        <v>0</v>
      </c>
      <c r="G369" s="8" t="s">
        <v>2771</v>
      </c>
      <c r="H369" s="8" t="s">
        <v>5159</v>
      </c>
      <c r="I369" s="3">
        <v>30</v>
      </c>
      <c r="J369" s="3" t="s">
        <v>5320</v>
      </c>
      <c r="K369" s="17" t="str">
        <f>HYPERLINK("http://ictvonline.org/taxonomyHistory.asp?taxnode_id=20170427","ICTVonline=20170427")</f>
        <v>ICTVonline=20170427</v>
      </c>
      <c r="L369" s="3">
        <v>368</v>
      </c>
    </row>
    <row r="370" spans="1:12" x14ac:dyDescent="0.15">
      <c r="A370" s="1" t="s">
        <v>1341</v>
      </c>
      <c r="B370" s="1" t="s">
        <v>1342</v>
      </c>
      <c r="D370" s="1" t="s">
        <v>2942</v>
      </c>
      <c r="E370" s="1" t="s">
        <v>2943</v>
      </c>
      <c r="F370" s="3">
        <v>1</v>
      </c>
      <c r="G370" s="8" t="s">
        <v>2771</v>
      </c>
      <c r="H370" s="8" t="s">
        <v>5159</v>
      </c>
      <c r="I370" s="3">
        <v>30</v>
      </c>
      <c r="J370" s="3" t="s">
        <v>5321</v>
      </c>
      <c r="K370" s="17" t="str">
        <f>HYPERLINK("http://ictvonline.org/taxonomyHistory.asp?taxnode_id=20170429","ICTVonline=20170429")</f>
        <v>ICTVonline=20170429</v>
      </c>
      <c r="L370" s="3">
        <v>369</v>
      </c>
    </row>
    <row r="371" spans="1:12" x14ac:dyDescent="0.15">
      <c r="A371" s="1" t="s">
        <v>1341</v>
      </c>
      <c r="B371" s="1" t="s">
        <v>1342</v>
      </c>
      <c r="D371" s="1" t="s">
        <v>2942</v>
      </c>
      <c r="E371" s="1" t="s">
        <v>2944</v>
      </c>
      <c r="F371" s="3">
        <v>0</v>
      </c>
      <c r="G371" s="8" t="s">
        <v>2771</v>
      </c>
      <c r="H371" s="8" t="s">
        <v>5159</v>
      </c>
      <c r="I371" s="3">
        <v>30</v>
      </c>
      <c r="J371" s="3" t="s">
        <v>5321</v>
      </c>
      <c r="K371" s="17" t="str">
        <f>HYPERLINK("http://ictvonline.org/taxonomyHistory.asp?taxnode_id=20170430","ICTVonline=20170430")</f>
        <v>ICTVonline=20170430</v>
      </c>
      <c r="L371" s="3">
        <v>370</v>
      </c>
    </row>
    <row r="372" spans="1:12" x14ac:dyDescent="0.15">
      <c r="A372" s="1" t="s">
        <v>1341</v>
      </c>
      <c r="B372" s="1" t="s">
        <v>1342</v>
      </c>
      <c r="D372" s="1" t="s">
        <v>5322</v>
      </c>
      <c r="E372" s="1" t="s">
        <v>5323</v>
      </c>
      <c r="F372" s="3">
        <v>0</v>
      </c>
      <c r="G372" s="8" t="s">
        <v>2771</v>
      </c>
      <c r="H372" s="8" t="s">
        <v>5159</v>
      </c>
      <c r="I372" s="3">
        <v>32</v>
      </c>
      <c r="J372" s="3" t="s">
        <v>5324</v>
      </c>
      <c r="K372" s="17" t="str">
        <f>HYPERLINK("http://ictvonline.org/taxonomyHistory.asp?taxnode_id=20175480","ICTVonline=20175480")</f>
        <v>ICTVonline=20175480</v>
      </c>
      <c r="L372" s="3">
        <v>371</v>
      </c>
    </row>
    <row r="373" spans="1:12" x14ac:dyDescent="0.15">
      <c r="A373" s="1" t="s">
        <v>1341</v>
      </c>
      <c r="B373" s="1" t="s">
        <v>1342</v>
      </c>
      <c r="D373" s="1" t="s">
        <v>5322</v>
      </c>
      <c r="E373" s="1" t="s">
        <v>5325</v>
      </c>
      <c r="F373" s="3">
        <v>1</v>
      </c>
      <c r="G373" s="8" t="s">
        <v>2771</v>
      </c>
      <c r="H373" s="8" t="s">
        <v>5159</v>
      </c>
      <c r="I373" s="3">
        <v>32</v>
      </c>
      <c r="J373" s="3" t="s">
        <v>5324</v>
      </c>
      <c r="K373" s="17" t="str">
        <f>HYPERLINK("http://ictvonline.org/taxonomyHistory.asp?taxnode_id=20175481","ICTVonline=20175481")</f>
        <v>ICTVonline=20175481</v>
      </c>
      <c r="L373" s="3">
        <v>372</v>
      </c>
    </row>
    <row r="374" spans="1:12" x14ac:dyDescent="0.15">
      <c r="A374" s="1" t="s">
        <v>1341</v>
      </c>
      <c r="B374" s="1" t="s">
        <v>1342</v>
      </c>
      <c r="D374" s="1" t="s">
        <v>4280</v>
      </c>
      <c r="E374" s="1" t="s">
        <v>2995</v>
      </c>
      <c r="F374" s="3">
        <v>1</v>
      </c>
      <c r="G374" s="8" t="s">
        <v>2771</v>
      </c>
      <c r="H374" s="8" t="s">
        <v>5161</v>
      </c>
      <c r="I374" s="3">
        <v>31</v>
      </c>
      <c r="J374" s="3" t="s">
        <v>5326</v>
      </c>
      <c r="K374" s="17" t="str">
        <f>HYPERLINK("http://ictvonline.org/taxonomyHistory.asp?taxnode_id=20170432","ICTVonline=20170432")</f>
        <v>ICTVonline=20170432</v>
      </c>
      <c r="L374" s="3">
        <v>373</v>
      </c>
    </row>
    <row r="375" spans="1:12" x14ac:dyDescent="0.15">
      <c r="A375" s="1" t="s">
        <v>1341</v>
      </c>
      <c r="B375" s="1" t="s">
        <v>1342</v>
      </c>
      <c r="D375" s="1" t="s">
        <v>2956</v>
      </c>
      <c r="E375" s="1" t="s">
        <v>2957</v>
      </c>
      <c r="F375" s="3">
        <v>1</v>
      </c>
      <c r="G375" s="8" t="s">
        <v>2771</v>
      </c>
      <c r="H375" s="8" t="s">
        <v>5160</v>
      </c>
      <c r="I375" s="3">
        <v>30</v>
      </c>
      <c r="J375" s="3" t="s">
        <v>5297</v>
      </c>
      <c r="K375" s="17" t="str">
        <f>HYPERLINK("http://ictvonline.org/taxonomyHistory.asp?taxnode_id=20170434","ICTVonline=20170434")</f>
        <v>ICTVonline=20170434</v>
      </c>
      <c r="L375" s="3">
        <v>374</v>
      </c>
    </row>
    <row r="376" spans="1:12" x14ac:dyDescent="0.15">
      <c r="A376" s="1" t="s">
        <v>1341</v>
      </c>
      <c r="B376" s="1" t="s">
        <v>1342</v>
      </c>
      <c r="D376" s="1" t="s">
        <v>2956</v>
      </c>
      <c r="E376" s="1" t="s">
        <v>2958</v>
      </c>
      <c r="F376" s="3">
        <v>0</v>
      </c>
      <c r="G376" s="8" t="s">
        <v>2771</v>
      </c>
      <c r="H376" s="8" t="s">
        <v>5160</v>
      </c>
      <c r="I376" s="3">
        <v>30</v>
      </c>
      <c r="J376" s="3" t="s">
        <v>5297</v>
      </c>
      <c r="K376" s="17" t="str">
        <f>HYPERLINK("http://ictvonline.org/taxonomyHistory.asp?taxnode_id=20170435","ICTVonline=20170435")</f>
        <v>ICTVonline=20170435</v>
      </c>
      <c r="L376" s="3">
        <v>375</v>
      </c>
    </row>
    <row r="377" spans="1:12" x14ac:dyDescent="0.15">
      <c r="A377" s="1" t="s">
        <v>1341</v>
      </c>
      <c r="B377" s="1" t="s">
        <v>1342</v>
      </c>
      <c r="D377" s="1" t="s">
        <v>4422</v>
      </c>
      <c r="E377" s="1" t="s">
        <v>4423</v>
      </c>
      <c r="F377" s="3">
        <v>1</v>
      </c>
      <c r="G377" s="8" t="s">
        <v>2771</v>
      </c>
      <c r="H377" s="8" t="s">
        <v>5159</v>
      </c>
      <c r="I377" s="3">
        <v>31</v>
      </c>
      <c r="J377" s="3" t="s">
        <v>5327</v>
      </c>
      <c r="K377" s="17" t="str">
        <f>HYPERLINK("http://ictvonline.org/taxonomyHistory.asp?taxnode_id=20170437","ICTVonline=20170437")</f>
        <v>ICTVonline=20170437</v>
      </c>
      <c r="L377" s="3">
        <v>376</v>
      </c>
    </row>
    <row r="378" spans="1:12" x14ac:dyDescent="0.15">
      <c r="A378" s="1" t="s">
        <v>1341</v>
      </c>
      <c r="B378" s="1" t="s">
        <v>1342</v>
      </c>
      <c r="D378" s="1" t="s">
        <v>4422</v>
      </c>
      <c r="E378" s="1" t="s">
        <v>4424</v>
      </c>
      <c r="F378" s="3">
        <v>0</v>
      </c>
      <c r="G378" s="8" t="s">
        <v>2771</v>
      </c>
      <c r="H378" s="8" t="s">
        <v>5159</v>
      </c>
      <c r="I378" s="3">
        <v>31</v>
      </c>
      <c r="J378" s="3" t="s">
        <v>5327</v>
      </c>
      <c r="K378" s="17" t="str">
        <f>HYPERLINK("http://ictvonline.org/taxonomyHistory.asp?taxnode_id=20170438","ICTVonline=20170438")</f>
        <v>ICTVonline=20170438</v>
      </c>
      <c r="L378" s="3">
        <v>377</v>
      </c>
    </row>
    <row r="379" spans="1:12" x14ac:dyDescent="0.15">
      <c r="A379" s="1" t="s">
        <v>1341</v>
      </c>
      <c r="B379" s="1" t="s">
        <v>1342</v>
      </c>
      <c r="D379" s="1" t="s">
        <v>2959</v>
      </c>
      <c r="E379" s="1" t="s">
        <v>2960</v>
      </c>
      <c r="F379" s="3">
        <v>0</v>
      </c>
      <c r="G379" s="8" t="s">
        <v>2771</v>
      </c>
      <c r="H379" s="8" t="s">
        <v>5159</v>
      </c>
      <c r="I379" s="3">
        <v>30</v>
      </c>
      <c r="J379" s="3" t="s">
        <v>5328</v>
      </c>
      <c r="K379" s="17" t="str">
        <f>HYPERLINK("http://ictvonline.org/taxonomyHistory.asp?taxnode_id=20170440","ICTVonline=20170440")</f>
        <v>ICTVonline=20170440</v>
      </c>
      <c r="L379" s="3">
        <v>378</v>
      </c>
    </row>
    <row r="380" spans="1:12" x14ac:dyDescent="0.15">
      <c r="A380" s="1" t="s">
        <v>1341</v>
      </c>
      <c r="B380" s="1" t="s">
        <v>1342</v>
      </c>
      <c r="D380" s="1" t="s">
        <v>2959</v>
      </c>
      <c r="E380" s="1" t="s">
        <v>2961</v>
      </c>
      <c r="F380" s="3">
        <v>1</v>
      </c>
      <c r="G380" s="8" t="s">
        <v>2771</v>
      </c>
      <c r="H380" s="8" t="s">
        <v>5159</v>
      </c>
      <c r="I380" s="3">
        <v>30</v>
      </c>
      <c r="J380" s="3" t="s">
        <v>5328</v>
      </c>
      <c r="K380" s="17" t="str">
        <f>HYPERLINK("http://ictvonline.org/taxonomyHistory.asp?taxnode_id=20170441","ICTVonline=20170441")</f>
        <v>ICTVonline=20170441</v>
      </c>
      <c r="L380" s="3">
        <v>379</v>
      </c>
    </row>
    <row r="381" spans="1:12" x14ac:dyDescent="0.15">
      <c r="A381" s="1" t="s">
        <v>1341</v>
      </c>
      <c r="B381" s="1" t="s">
        <v>1342</v>
      </c>
      <c r="D381" s="1" t="s">
        <v>2959</v>
      </c>
      <c r="E381" s="1" t="s">
        <v>2962</v>
      </c>
      <c r="F381" s="3">
        <v>0</v>
      </c>
      <c r="G381" s="8" t="s">
        <v>2771</v>
      </c>
      <c r="H381" s="8" t="s">
        <v>5159</v>
      </c>
      <c r="I381" s="3">
        <v>30</v>
      </c>
      <c r="J381" s="3" t="s">
        <v>5328</v>
      </c>
      <c r="K381" s="17" t="str">
        <f>HYPERLINK("http://ictvonline.org/taxonomyHistory.asp?taxnode_id=20170442","ICTVonline=20170442")</f>
        <v>ICTVonline=20170442</v>
      </c>
      <c r="L381" s="3">
        <v>380</v>
      </c>
    </row>
    <row r="382" spans="1:12" x14ac:dyDescent="0.15">
      <c r="A382" s="1" t="s">
        <v>1341</v>
      </c>
      <c r="B382" s="1" t="s">
        <v>1342</v>
      </c>
      <c r="D382" s="1" t="s">
        <v>4425</v>
      </c>
      <c r="E382" s="1" t="s">
        <v>4426</v>
      </c>
      <c r="F382" s="3">
        <v>0</v>
      </c>
      <c r="G382" s="8" t="s">
        <v>2771</v>
      </c>
      <c r="H382" s="8" t="s">
        <v>5159</v>
      </c>
      <c r="I382" s="3">
        <v>31</v>
      </c>
      <c r="J382" s="3" t="s">
        <v>5329</v>
      </c>
      <c r="K382" s="17" t="str">
        <f>HYPERLINK("http://ictvonline.org/taxonomyHistory.asp?taxnode_id=20170444","ICTVonline=20170444")</f>
        <v>ICTVonline=20170444</v>
      </c>
      <c r="L382" s="3">
        <v>381</v>
      </c>
    </row>
    <row r="383" spans="1:12" x14ac:dyDescent="0.15">
      <c r="A383" s="1" t="s">
        <v>1341</v>
      </c>
      <c r="B383" s="1" t="s">
        <v>1342</v>
      </c>
      <c r="D383" s="1" t="s">
        <v>4425</v>
      </c>
      <c r="E383" s="1" t="s">
        <v>4427</v>
      </c>
      <c r="F383" s="3">
        <v>1</v>
      </c>
      <c r="G383" s="8" t="s">
        <v>2771</v>
      </c>
      <c r="H383" s="8" t="s">
        <v>5159</v>
      </c>
      <c r="I383" s="3">
        <v>31</v>
      </c>
      <c r="J383" s="3" t="s">
        <v>5329</v>
      </c>
      <c r="K383" s="17" t="str">
        <f>HYPERLINK("http://ictvonline.org/taxonomyHistory.asp?taxnode_id=20170445","ICTVonline=20170445")</f>
        <v>ICTVonline=20170445</v>
      </c>
      <c r="L383" s="3">
        <v>382</v>
      </c>
    </row>
    <row r="384" spans="1:12" x14ac:dyDescent="0.15">
      <c r="A384" s="1" t="s">
        <v>1341</v>
      </c>
      <c r="B384" s="1" t="s">
        <v>1342</v>
      </c>
      <c r="D384" s="1" t="s">
        <v>4425</v>
      </c>
      <c r="E384" s="1" t="s">
        <v>4428</v>
      </c>
      <c r="F384" s="3">
        <v>0</v>
      </c>
      <c r="G384" s="8" t="s">
        <v>2771</v>
      </c>
      <c r="H384" s="8" t="s">
        <v>5159</v>
      </c>
      <c r="I384" s="3">
        <v>31</v>
      </c>
      <c r="J384" s="3" t="s">
        <v>5329</v>
      </c>
      <c r="K384" s="17" t="str">
        <f>HYPERLINK("http://ictvonline.org/taxonomyHistory.asp?taxnode_id=20170446","ICTVonline=20170446")</f>
        <v>ICTVonline=20170446</v>
      </c>
      <c r="L384" s="3">
        <v>383</v>
      </c>
    </row>
    <row r="385" spans="1:12" x14ac:dyDescent="0.15">
      <c r="A385" s="1" t="s">
        <v>1341</v>
      </c>
      <c r="B385" s="1" t="s">
        <v>1342</v>
      </c>
      <c r="D385" s="1" t="s">
        <v>5330</v>
      </c>
      <c r="E385" s="1" t="s">
        <v>5331</v>
      </c>
      <c r="F385" s="3">
        <v>1</v>
      </c>
      <c r="G385" s="8" t="s">
        <v>2771</v>
      </c>
      <c r="H385" s="8" t="s">
        <v>5159</v>
      </c>
      <c r="I385" s="3">
        <v>32</v>
      </c>
      <c r="J385" s="3" t="s">
        <v>5332</v>
      </c>
      <c r="K385" s="17" t="str">
        <f>HYPERLINK("http://ictvonline.org/taxonomyHistory.asp?taxnode_id=20175483","ICTVonline=20175483")</f>
        <v>ICTVonline=20175483</v>
      </c>
      <c r="L385" s="3">
        <v>384</v>
      </c>
    </row>
    <row r="386" spans="1:12" x14ac:dyDescent="0.15">
      <c r="A386" s="1" t="s">
        <v>1341</v>
      </c>
      <c r="B386" s="1" t="s">
        <v>1342</v>
      </c>
      <c r="D386" s="1" t="s">
        <v>4429</v>
      </c>
      <c r="E386" s="1" t="s">
        <v>4430</v>
      </c>
      <c r="F386" s="3">
        <v>0</v>
      </c>
      <c r="G386" s="8" t="s">
        <v>2771</v>
      </c>
      <c r="H386" s="8" t="s">
        <v>5159</v>
      </c>
      <c r="I386" s="3">
        <v>31</v>
      </c>
      <c r="J386" s="3" t="s">
        <v>5333</v>
      </c>
      <c r="K386" s="17" t="str">
        <f>HYPERLINK("http://ictvonline.org/taxonomyHistory.asp?taxnode_id=20170448","ICTVonline=20170448")</f>
        <v>ICTVonline=20170448</v>
      </c>
      <c r="L386" s="3">
        <v>385</v>
      </c>
    </row>
    <row r="387" spans="1:12" x14ac:dyDescent="0.15">
      <c r="A387" s="1" t="s">
        <v>1341</v>
      </c>
      <c r="B387" s="1" t="s">
        <v>1342</v>
      </c>
      <c r="D387" s="1" t="s">
        <v>4429</v>
      </c>
      <c r="E387" s="1" t="s">
        <v>4431</v>
      </c>
      <c r="F387" s="3">
        <v>0</v>
      </c>
      <c r="G387" s="8" t="s">
        <v>2771</v>
      </c>
      <c r="H387" s="8" t="s">
        <v>5159</v>
      </c>
      <c r="I387" s="3">
        <v>31</v>
      </c>
      <c r="J387" s="3" t="s">
        <v>5333</v>
      </c>
      <c r="K387" s="17" t="str">
        <f>HYPERLINK("http://ictvonline.org/taxonomyHistory.asp?taxnode_id=20170449","ICTVonline=20170449")</f>
        <v>ICTVonline=20170449</v>
      </c>
      <c r="L387" s="3">
        <v>386</v>
      </c>
    </row>
    <row r="388" spans="1:12" x14ac:dyDescent="0.15">
      <c r="A388" s="1" t="s">
        <v>1341</v>
      </c>
      <c r="B388" s="1" t="s">
        <v>1342</v>
      </c>
      <c r="D388" s="1" t="s">
        <v>4429</v>
      </c>
      <c r="E388" s="1" t="s">
        <v>4432</v>
      </c>
      <c r="F388" s="3">
        <v>1</v>
      </c>
      <c r="G388" s="8" t="s">
        <v>2771</v>
      </c>
      <c r="H388" s="8" t="s">
        <v>5159</v>
      </c>
      <c r="I388" s="3">
        <v>31</v>
      </c>
      <c r="J388" s="3" t="s">
        <v>5333</v>
      </c>
      <c r="K388" s="17" t="str">
        <f>HYPERLINK("http://ictvonline.org/taxonomyHistory.asp?taxnode_id=20170450","ICTVonline=20170450")</f>
        <v>ICTVonline=20170450</v>
      </c>
      <c r="L388" s="3">
        <v>387</v>
      </c>
    </row>
    <row r="389" spans="1:12" x14ac:dyDescent="0.15">
      <c r="A389" s="1" t="s">
        <v>1341</v>
      </c>
      <c r="B389" s="1" t="s">
        <v>1342</v>
      </c>
      <c r="D389" s="1" t="s">
        <v>4429</v>
      </c>
      <c r="E389" s="1" t="s">
        <v>4433</v>
      </c>
      <c r="F389" s="3">
        <v>0</v>
      </c>
      <c r="G389" s="8" t="s">
        <v>2771</v>
      </c>
      <c r="H389" s="8" t="s">
        <v>5159</v>
      </c>
      <c r="I389" s="3">
        <v>31</v>
      </c>
      <c r="J389" s="3" t="s">
        <v>5333</v>
      </c>
      <c r="K389" s="17" t="str">
        <f>HYPERLINK("http://ictvonline.org/taxonomyHistory.asp?taxnode_id=20170451","ICTVonline=20170451")</f>
        <v>ICTVonline=20170451</v>
      </c>
      <c r="L389" s="3">
        <v>388</v>
      </c>
    </row>
    <row r="390" spans="1:12" x14ac:dyDescent="0.15">
      <c r="A390" s="1" t="s">
        <v>1341</v>
      </c>
      <c r="B390" s="1" t="s">
        <v>1342</v>
      </c>
      <c r="D390" s="1" t="s">
        <v>4434</v>
      </c>
      <c r="E390" s="1" t="s">
        <v>4435</v>
      </c>
      <c r="F390" s="3">
        <v>1</v>
      </c>
      <c r="G390" s="8" t="s">
        <v>2771</v>
      </c>
      <c r="H390" s="8" t="s">
        <v>5159</v>
      </c>
      <c r="I390" s="3">
        <v>31</v>
      </c>
      <c r="J390" s="3" t="s">
        <v>5334</v>
      </c>
      <c r="K390" s="17" t="str">
        <f>HYPERLINK("http://ictvonline.org/taxonomyHistory.asp?taxnode_id=20170453","ICTVonline=20170453")</f>
        <v>ICTVonline=20170453</v>
      </c>
      <c r="L390" s="3">
        <v>389</v>
      </c>
    </row>
    <row r="391" spans="1:12" x14ac:dyDescent="0.15">
      <c r="A391" s="1" t="s">
        <v>1341</v>
      </c>
      <c r="B391" s="1" t="s">
        <v>1342</v>
      </c>
      <c r="D391" s="1" t="s">
        <v>4434</v>
      </c>
      <c r="E391" s="1" t="s">
        <v>4436</v>
      </c>
      <c r="F391" s="3">
        <v>0</v>
      </c>
      <c r="G391" s="8" t="s">
        <v>2771</v>
      </c>
      <c r="H391" s="8" t="s">
        <v>5159</v>
      </c>
      <c r="I391" s="3">
        <v>31</v>
      </c>
      <c r="J391" s="3" t="s">
        <v>5334</v>
      </c>
      <c r="K391" s="17" t="str">
        <f>HYPERLINK("http://ictvonline.org/taxonomyHistory.asp?taxnode_id=20170454","ICTVonline=20170454")</f>
        <v>ICTVonline=20170454</v>
      </c>
      <c r="L391" s="3">
        <v>390</v>
      </c>
    </row>
    <row r="392" spans="1:12" x14ac:dyDescent="0.15">
      <c r="A392" s="1" t="s">
        <v>1341</v>
      </c>
      <c r="B392" s="1" t="s">
        <v>1342</v>
      </c>
      <c r="D392" s="1" t="s">
        <v>2963</v>
      </c>
      <c r="E392" s="1" t="s">
        <v>2964</v>
      </c>
      <c r="F392" s="3">
        <v>1</v>
      </c>
      <c r="G392" s="8" t="s">
        <v>2771</v>
      </c>
      <c r="H392" s="8" t="s">
        <v>5160</v>
      </c>
      <c r="I392" s="3">
        <v>30</v>
      </c>
      <c r="J392" s="3" t="s">
        <v>5297</v>
      </c>
      <c r="K392" s="17" t="str">
        <f>HYPERLINK("http://ictvonline.org/taxonomyHistory.asp?taxnode_id=20170456","ICTVonline=20170456")</f>
        <v>ICTVonline=20170456</v>
      </c>
      <c r="L392" s="3">
        <v>391</v>
      </c>
    </row>
    <row r="393" spans="1:12" x14ac:dyDescent="0.15">
      <c r="A393" s="1" t="s">
        <v>1341</v>
      </c>
      <c r="B393" s="1" t="s">
        <v>1342</v>
      </c>
      <c r="D393" s="1" t="s">
        <v>2963</v>
      </c>
      <c r="E393" s="1" t="s">
        <v>4437</v>
      </c>
      <c r="F393" s="3">
        <v>0</v>
      </c>
      <c r="G393" s="8" t="s">
        <v>2771</v>
      </c>
      <c r="H393" s="8" t="s">
        <v>5159</v>
      </c>
      <c r="I393" s="3">
        <v>31</v>
      </c>
      <c r="J393" s="3" t="s">
        <v>5298</v>
      </c>
      <c r="K393" s="17" t="str">
        <f>HYPERLINK("http://ictvonline.org/taxonomyHistory.asp?taxnode_id=20170457","ICTVonline=20170457")</f>
        <v>ICTVonline=20170457</v>
      </c>
      <c r="L393" s="3">
        <v>392</v>
      </c>
    </row>
    <row r="394" spans="1:12" x14ac:dyDescent="0.15">
      <c r="A394" s="1" t="s">
        <v>1341</v>
      </c>
      <c r="B394" s="1" t="s">
        <v>1342</v>
      </c>
      <c r="D394" s="1" t="s">
        <v>2965</v>
      </c>
      <c r="E394" s="1" t="s">
        <v>2966</v>
      </c>
      <c r="F394" s="3">
        <v>1</v>
      </c>
      <c r="G394" s="8" t="s">
        <v>2771</v>
      </c>
      <c r="H394" s="8" t="s">
        <v>5160</v>
      </c>
      <c r="I394" s="3">
        <v>30</v>
      </c>
      <c r="J394" s="3" t="s">
        <v>5297</v>
      </c>
      <c r="K394" s="17" t="str">
        <f>HYPERLINK("http://ictvonline.org/taxonomyHistory.asp?taxnode_id=20170459","ICTVonline=20170459")</f>
        <v>ICTVonline=20170459</v>
      </c>
      <c r="L394" s="3">
        <v>393</v>
      </c>
    </row>
    <row r="395" spans="1:12" x14ac:dyDescent="0.15">
      <c r="A395" s="1" t="s">
        <v>1341</v>
      </c>
      <c r="B395" s="1" t="s">
        <v>1342</v>
      </c>
      <c r="D395" s="1" t="s">
        <v>2967</v>
      </c>
      <c r="E395" s="1" t="s">
        <v>2968</v>
      </c>
      <c r="F395" s="3">
        <v>0</v>
      </c>
      <c r="G395" s="8" t="s">
        <v>2771</v>
      </c>
      <c r="H395" s="8" t="s">
        <v>5159</v>
      </c>
      <c r="I395" s="3">
        <v>30</v>
      </c>
      <c r="J395" s="3" t="s">
        <v>5335</v>
      </c>
      <c r="K395" s="17" t="str">
        <f>HYPERLINK("http://ictvonline.org/taxonomyHistory.asp?taxnode_id=20170461","ICTVonline=20170461")</f>
        <v>ICTVonline=20170461</v>
      </c>
      <c r="L395" s="3">
        <v>394</v>
      </c>
    </row>
    <row r="396" spans="1:12" x14ac:dyDescent="0.15">
      <c r="A396" s="1" t="s">
        <v>1341</v>
      </c>
      <c r="B396" s="1" t="s">
        <v>1342</v>
      </c>
      <c r="D396" s="1" t="s">
        <v>2967</v>
      </c>
      <c r="E396" s="1" t="s">
        <v>2969</v>
      </c>
      <c r="F396" s="3">
        <v>1</v>
      </c>
      <c r="G396" s="8" t="s">
        <v>2771</v>
      </c>
      <c r="H396" s="8" t="s">
        <v>5159</v>
      </c>
      <c r="I396" s="3">
        <v>30</v>
      </c>
      <c r="J396" s="3" t="s">
        <v>5335</v>
      </c>
      <c r="K396" s="17" t="str">
        <f>HYPERLINK("http://ictvonline.org/taxonomyHistory.asp?taxnode_id=20170462","ICTVonline=20170462")</f>
        <v>ICTVonline=20170462</v>
      </c>
      <c r="L396" s="3">
        <v>395</v>
      </c>
    </row>
    <row r="397" spans="1:12" x14ac:dyDescent="0.15">
      <c r="A397" s="1" t="s">
        <v>1341</v>
      </c>
      <c r="B397" s="1" t="s">
        <v>1342</v>
      </c>
      <c r="D397" s="1" t="s">
        <v>2967</v>
      </c>
      <c r="E397" s="1" t="s">
        <v>2970</v>
      </c>
      <c r="F397" s="3">
        <v>0</v>
      </c>
      <c r="G397" s="8" t="s">
        <v>2771</v>
      </c>
      <c r="H397" s="8" t="s">
        <v>5159</v>
      </c>
      <c r="I397" s="3">
        <v>30</v>
      </c>
      <c r="J397" s="3" t="s">
        <v>5335</v>
      </c>
      <c r="K397" s="17" t="str">
        <f>HYPERLINK("http://ictvonline.org/taxonomyHistory.asp?taxnode_id=20170463","ICTVonline=20170463")</f>
        <v>ICTVonline=20170463</v>
      </c>
      <c r="L397" s="3">
        <v>396</v>
      </c>
    </row>
    <row r="398" spans="1:12" x14ac:dyDescent="0.15">
      <c r="A398" s="1" t="s">
        <v>1341</v>
      </c>
      <c r="B398" s="1" t="s">
        <v>1342</v>
      </c>
      <c r="D398" s="1" t="s">
        <v>2971</v>
      </c>
      <c r="E398" s="1" t="s">
        <v>2972</v>
      </c>
      <c r="F398" s="3">
        <v>0</v>
      </c>
      <c r="G398" s="8" t="s">
        <v>2771</v>
      </c>
      <c r="H398" s="8" t="s">
        <v>5160</v>
      </c>
      <c r="I398" s="3">
        <v>30</v>
      </c>
      <c r="J398" s="3" t="s">
        <v>5297</v>
      </c>
      <c r="K398" s="17" t="str">
        <f>HYPERLINK("http://ictvonline.org/taxonomyHistory.asp?taxnode_id=20170465","ICTVonline=20170465")</f>
        <v>ICTVonline=20170465</v>
      </c>
      <c r="L398" s="3">
        <v>397</v>
      </c>
    </row>
    <row r="399" spans="1:12" x14ac:dyDescent="0.15">
      <c r="A399" s="1" t="s">
        <v>1341</v>
      </c>
      <c r="B399" s="1" t="s">
        <v>1342</v>
      </c>
      <c r="D399" s="1" t="s">
        <v>2971</v>
      </c>
      <c r="E399" s="1" t="s">
        <v>2973</v>
      </c>
      <c r="F399" s="3">
        <v>1</v>
      </c>
      <c r="G399" s="8" t="s">
        <v>2771</v>
      </c>
      <c r="H399" s="8" t="s">
        <v>5160</v>
      </c>
      <c r="I399" s="3">
        <v>30</v>
      </c>
      <c r="J399" s="3" t="s">
        <v>5297</v>
      </c>
      <c r="K399" s="17" t="str">
        <f>HYPERLINK("http://ictvonline.org/taxonomyHistory.asp?taxnode_id=20170466","ICTVonline=20170466")</f>
        <v>ICTVonline=20170466</v>
      </c>
      <c r="L399" s="3">
        <v>398</v>
      </c>
    </row>
    <row r="400" spans="1:12" x14ac:dyDescent="0.15">
      <c r="A400" s="1" t="s">
        <v>1341</v>
      </c>
      <c r="B400" s="1" t="s">
        <v>1342</v>
      </c>
      <c r="D400" s="1" t="s">
        <v>2974</v>
      </c>
      <c r="E400" s="1" t="s">
        <v>2975</v>
      </c>
      <c r="F400" s="3">
        <v>0</v>
      </c>
      <c r="G400" s="8" t="s">
        <v>2771</v>
      </c>
      <c r="H400" s="8" t="s">
        <v>5159</v>
      </c>
      <c r="I400" s="3">
        <v>30</v>
      </c>
      <c r="J400" s="3" t="s">
        <v>5336</v>
      </c>
      <c r="K400" s="17" t="str">
        <f>HYPERLINK("http://ictvonline.org/taxonomyHistory.asp?taxnode_id=20170468","ICTVonline=20170468")</f>
        <v>ICTVonline=20170468</v>
      </c>
      <c r="L400" s="3">
        <v>399</v>
      </c>
    </row>
    <row r="401" spans="1:12" x14ac:dyDescent="0.15">
      <c r="A401" s="1" t="s">
        <v>1341</v>
      </c>
      <c r="B401" s="1" t="s">
        <v>1342</v>
      </c>
      <c r="D401" s="1" t="s">
        <v>2974</v>
      </c>
      <c r="E401" s="1" t="s">
        <v>2976</v>
      </c>
      <c r="F401" s="3">
        <v>0</v>
      </c>
      <c r="G401" s="8" t="s">
        <v>2771</v>
      </c>
      <c r="H401" s="8" t="s">
        <v>5159</v>
      </c>
      <c r="I401" s="3">
        <v>30</v>
      </c>
      <c r="J401" s="3" t="s">
        <v>5336</v>
      </c>
      <c r="K401" s="17" t="str">
        <f>HYPERLINK("http://ictvonline.org/taxonomyHistory.asp?taxnode_id=20170469","ICTVonline=20170469")</f>
        <v>ICTVonline=20170469</v>
      </c>
      <c r="L401" s="3">
        <v>400</v>
      </c>
    </row>
    <row r="402" spans="1:12" x14ac:dyDescent="0.15">
      <c r="A402" s="1" t="s">
        <v>1341</v>
      </c>
      <c r="B402" s="1" t="s">
        <v>1342</v>
      </c>
      <c r="D402" s="1" t="s">
        <v>2974</v>
      </c>
      <c r="E402" s="1" t="s">
        <v>2977</v>
      </c>
      <c r="F402" s="3">
        <v>0</v>
      </c>
      <c r="G402" s="8" t="s">
        <v>2771</v>
      </c>
      <c r="H402" s="8" t="s">
        <v>5159</v>
      </c>
      <c r="I402" s="3">
        <v>30</v>
      </c>
      <c r="J402" s="3" t="s">
        <v>5336</v>
      </c>
      <c r="K402" s="17" t="str">
        <f>HYPERLINK("http://ictvonline.org/taxonomyHistory.asp?taxnode_id=20170470","ICTVonline=20170470")</f>
        <v>ICTVonline=20170470</v>
      </c>
      <c r="L402" s="3">
        <v>401</v>
      </c>
    </row>
    <row r="403" spans="1:12" x14ac:dyDescent="0.15">
      <c r="A403" s="1" t="s">
        <v>1341</v>
      </c>
      <c r="B403" s="1" t="s">
        <v>1342</v>
      </c>
      <c r="D403" s="1" t="s">
        <v>2974</v>
      </c>
      <c r="E403" s="1" t="s">
        <v>2978</v>
      </c>
      <c r="F403" s="3">
        <v>1</v>
      </c>
      <c r="G403" s="8" t="s">
        <v>2771</v>
      </c>
      <c r="H403" s="8" t="s">
        <v>5159</v>
      </c>
      <c r="I403" s="3">
        <v>30</v>
      </c>
      <c r="J403" s="3" t="s">
        <v>5336</v>
      </c>
      <c r="K403" s="17" t="str">
        <f>HYPERLINK("http://ictvonline.org/taxonomyHistory.asp?taxnode_id=20170471","ICTVonline=20170471")</f>
        <v>ICTVonline=20170471</v>
      </c>
      <c r="L403" s="3">
        <v>402</v>
      </c>
    </row>
    <row r="404" spans="1:12" x14ac:dyDescent="0.15">
      <c r="A404" s="1" t="s">
        <v>1341</v>
      </c>
      <c r="B404" s="1" t="s">
        <v>1342</v>
      </c>
      <c r="D404" s="1" t="s">
        <v>2974</v>
      </c>
      <c r="E404" s="1" t="s">
        <v>2979</v>
      </c>
      <c r="F404" s="3">
        <v>0</v>
      </c>
      <c r="G404" s="8" t="s">
        <v>2771</v>
      </c>
      <c r="H404" s="8" t="s">
        <v>5159</v>
      </c>
      <c r="I404" s="3">
        <v>30</v>
      </c>
      <c r="J404" s="3" t="s">
        <v>5336</v>
      </c>
      <c r="K404" s="17" t="str">
        <f>HYPERLINK("http://ictvonline.org/taxonomyHistory.asp?taxnode_id=20170472","ICTVonline=20170472")</f>
        <v>ICTVonline=20170472</v>
      </c>
      <c r="L404" s="3">
        <v>403</v>
      </c>
    </row>
    <row r="405" spans="1:12" x14ac:dyDescent="0.15">
      <c r="A405" s="1" t="s">
        <v>1341</v>
      </c>
      <c r="B405" s="1" t="s">
        <v>1342</v>
      </c>
      <c r="D405" s="1" t="s">
        <v>2974</v>
      </c>
      <c r="E405" s="1" t="s">
        <v>2980</v>
      </c>
      <c r="F405" s="3">
        <v>0</v>
      </c>
      <c r="G405" s="8" t="s">
        <v>2771</v>
      </c>
      <c r="H405" s="8" t="s">
        <v>5159</v>
      </c>
      <c r="I405" s="3">
        <v>30</v>
      </c>
      <c r="J405" s="3" t="s">
        <v>5336</v>
      </c>
      <c r="K405" s="17" t="str">
        <f>HYPERLINK("http://ictvonline.org/taxonomyHistory.asp?taxnode_id=20170473","ICTVonline=20170473")</f>
        <v>ICTVonline=20170473</v>
      </c>
      <c r="L405" s="3">
        <v>404</v>
      </c>
    </row>
    <row r="406" spans="1:12" x14ac:dyDescent="0.15">
      <c r="A406" s="1" t="s">
        <v>1341</v>
      </c>
      <c r="B406" s="1" t="s">
        <v>1342</v>
      </c>
      <c r="D406" s="1" t="s">
        <v>2981</v>
      </c>
      <c r="E406" s="1" t="s">
        <v>2982</v>
      </c>
      <c r="F406" s="3">
        <v>0</v>
      </c>
      <c r="G406" s="8" t="s">
        <v>2771</v>
      </c>
      <c r="H406" s="8" t="s">
        <v>5160</v>
      </c>
      <c r="I406" s="3">
        <v>30</v>
      </c>
      <c r="J406" s="3" t="s">
        <v>5297</v>
      </c>
      <c r="K406" s="17" t="str">
        <f>HYPERLINK("http://ictvonline.org/taxonomyHistory.asp?taxnode_id=20170475","ICTVonline=20170475")</f>
        <v>ICTVonline=20170475</v>
      </c>
      <c r="L406" s="3">
        <v>405</v>
      </c>
    </row>
    <row r="407" spans="1:12" x14ac:dyDescent="0.15">
      <c r="A407" s="1" t="s">
        <v>1341</v>
      </c>
      <c r="B407" s="1" t="s">
        <v>1342</v>
      </c>
      <c r="D407" s="1" t="s">
        <v>2981</v>
      </c>
      <c r="E407" s="1" t="s">
        <v>2983</v>
      </c>
      <c r="F407" s="3">
        <v>0</v>
      </c>
      <c r="G407" s="8" t="s">
        <v>2771</v>
      </c>
      <c r="H407" s="8" t="s">
        <v>5160</v>
      </c>
      <c r="I407" s="3">
        <v>30</v>
      </c>
      <c r="J407" s="3" t="s">
        <v>5297</v>
      </c>
      <c r="K407" s="17" t="str">
        <f>HYPERLINK("http://ictvonline.org/taxonomyHistory.asp?taxnode_id=20170476","ICTVonline=20170476")</f>
        <v>ICTVonline=20170476</v>
      </c>
      <c r="L407" s="3">
        <v>406</v>
      </c>
    </row>
    <row r="408" spans="1:12" x14ac:dyDescent="0.15">
      <c r="A408" s="1" t="s">
        <v>1341</v>
      </c>
      <c r="B408" s="1" t="s">
        <v>1342</v>
      </c>
      <c r="D408" s="1" t="s">
        <v>2981</v>
      </c>
      <c r="E408" s="1" t="s">
        <v>2984</v>
      </c>
      <c r="F408" s="3">
        <v>0</v>
      </c>
      <c r="G408" s="8" t="s">
        <v>2771</v>
      </c>
      <c r="H408" s="8" t="s">
        <v>5159</v>
      </c>
      <c r="I408" s="3">
        <v>30</v>
      </c>
      <c r="J408" s="3" t="s">
        <v>5337</v>
      </c>
      <c r="K408" s="17" t="str">
        <f>HYPERLINK("http://ictvonline.org/taxonomyHistory.asp?taxnode_id=20170477","ICTVonline=20170477")</f>
        <v>ICTVonline=20170477</v>
      </c>
      <c r="L408" s="3">
        <v>407</v>
      </c>
    </row>
    <row r="409" spans="1:12" x14ac:dyDescent="0.15">
      <c r="A409" s="1" t="s">
        <v>1341</v>
      </c>
      <c r="B409" s="1" t="s">
        <v>1342</v>
      </c>
      <c r="D409" s="1" t="s">
        <v>2981</v>
      </c>
      <c r="E409" s="1" t="s">
        <v>2985</v>
      </c>
      <c r="F409" s="3">
        <v>0</v>
      </c>
      <c r="G409" s="8" t="s">
        <v>2771</v>
      </c>
      <c r="H409" s="8" t="s">
        <v>5159</v>
      </c>
      <c r="I409" s="3">
        <v>30</v>
      </c>
      <c r="J409" s="3" t="s">
        <v>5337</v>
      </c>
      <c r="K409" s="17" t="str">
        <f>HYPERLINK("http://ictvonline.org/taxonomyHistory.asp?taxnode_id=20170478","ICTVonline=20170478")</f>
        <v>ICTVonline=20170478</v>
      </c>
      <c r="L409" s="3">
        <v>408</v>
      </c>
    </row>
    <row r="410" spans="1:12" x14ac:dyDescent="0.15">
      <c r="A410" s="1" t="s">
        <v>1341</v>
      </c>
      <c r="B410" s="1" t="s">
        <v>1342</v>
      </c>
      <c r="D410" s="1" t="s">
        <v>2981</v>
      </c>
      <c r="E410" s="1" t="s">
        <v>2986</v>
      </c>
      <c r="F410" s="3">
        <v>0</v>
      </c>
      <c r="G410" s="8" t="s">
        <v>2771</v>
      </c>
      <c r="H410" s="8" t="s">
        <v>5159</v>
      </c>
      <c r="I410" s="3">
        <v>30</v>
      </c>
      <c r="J410" s="3" t="s">
        <v>5337</v>
      </c>
      <c r="K410" s="17" t="str">
        <f>HYPERLINK("http://ictvonline.org/taxonomyHistory.asp?taxnode_id=20170479","ICTVonline=20170479")</f>
        <v>ICTVonline=20170479</v>
      </c>
      <c r="L410" s="3">
        <v>409</v>
      </c>
    </row>
    <row r="411" spans="1:12" x14ac:dyDescent="0.15">
      <c r="A411" s="1" t="s">
        <v>1341</v>
      </c>
      <c r="B411" s="1" t="s">
        <v>1342</v>
      </c>
      <c r="D411" s="1" t="s">
        <v>2981</v>
      </c>
      <c r="E411" s="1" t="s">
        <v>2987</v>
      </c>
      <c r="F411" s="3">
        <v>0</v>
      </c>
      <c r="G411" s="8" t="s">
        <v>2771</v>
      </c>
      <c r="H411" s="8" t="s">
        <v>5160</v>
      </c>
      <c r="I411" s="3">
        <v>30</v>
      </c>
      <c r="J411" s="3" t="s">
        <v>5297</v>
      </c>
      <c r="K411" s="17" t="str">
        <f>HYPERLINK("http://ictvonline.org/taxonomyHistory.asp?taxnode_id=20170480","ICTVonline=20170480")</f>
        <v>ICTVonline=20170480</v>
      </c>
      <c r="L411" s="3">
        <v>410</v>
      </c>
    </row>
    <row r="412" spans="1:12" x14ac:dyDescent="0.15">
      <c r="A412" s="1" t="s">
        <v>1341</v>
      </c>
      <c r="B412" s="1" t="s">
        <v>1342</v>
      </c>
      <c r="D412" s="1" t="s">
        <v>2981</v>
      </c>
      <c r="E412" s="1" t="s">
        <v>2988</v>
      </c>
      <c r="F412" s="3">
        <v>0</v>
      </c>
      <c r="G412" s="8" t="s">
        <v>2771</v>
      </c>
      <c r="H412" s="8" t="s">
        <v>5159</v>
      </c>
      <c r="I412" s="3">
        <v>30</v>
      </c>
      <c r="J412" s="3" t="s">
        <v>5337</v>
      </c>
      <c r="K412" s="17" t="str">
        <f>HYPERLINK("http://ictvonline.org/taxonomyHistory.asp?taxnode_id=20170481","ICTVonline=20170481")</f>
        <v>ICTVonline=20170481</v>
      </c>
      <c r="L412" s="3">
        <v>411</v>
      </c>
    </row>
    <row r="413" spans="1:12" x14ac:dyDescent="0.15">
      <c r="A413" s="1" t="s">
        <v>1341</v>
      </c>
      <c r="B413" s="1" t="s">
        <v>1342</v>
      </c>
      <c r="D413" s="1" t="s">
        <v>2981</v>
      </c>
      <c r="E413" s="1" t="s">
        <v>2989</v>
      </c>
      <c r="F413" s="3">
        <v>0</v>
      </c>
      <c r="G413" s="8" t="s">
        <v>2771</v>
      </c>
      <c r="H413" s="8" t="s">
        <v>5159</v>
      </c>
      <c r="I413" s="3">
        <v>30</v>
      </c>
      <c r="J413" s="3" t="s">
        <v>5337</v>
      </c>
      <c r="K413" s="17" t="str">
        <f>HYPERLINK("http://ictvonline.org/taxonomyHistory.asp?taxnode_id=20170482","ICTVonline=20170482")</f>
        <v>ICTVonline=20170482</v>
      </c>
      <c r="L413" s="3">
        <v>412</v>
      </c>
    </row>
    <row r="414" spans="1:12" x14ac:dyDescent="0.15">
      <c r="A414" s="1" t="s">
        <v>1341</v>
      </c>
      <c r="B414" s="1" t="s">
        <v>1342</v>
      </c>
      <c r="D414" s="1" t="s">
        <v>2981</v>
      </c>
      <c r="E414" s="1" t="s">
        <v>2990</v>
      </c>
      <c r="F414" s="3">
        <v>0</v>
      </c>
      <c r="G414" s="8" t="s">
        <v>2771</v>
      </c>
      <c r="H414" s="8" t="s">
        <v>5160</v>
      </c>
      <c r="I414" s="3">
        <v>30</v>
      </c>
      <c r="J414" s="3" t="s">
        <v>5297</v>
      </c>
      <c r="K414" s="17" t="str">
        <f>HYPERLINK("http://ictvonline.org/taxonomyHistory.asp?taxnode_id=20170483","ICTVonline=20170483")</f>
        <v>ICTVonline=20170483</v>
      </c>
      <c r="L414" s="3">
        <v>413</v>
      </c>
    </row>
    <row r="415" spans="1:12" x14ac:dyDescent="0.15">
      <c r="A415" s="1" t="s">
        <v>1341</v>
      </c>
      <c r="B415" s="1" t="s">
        <v>1342</v>
      </c>
      <c r="D415" s="1" t="s">
        <v>2981</v>
      </c>
      <c r="E415" s="1" t="s">
        <v>2991</v>
      </c>
      <c r="F415" s="3">
        <v>0</v>
      </c>
      <c r="G415" s="8" t="s">
        <v>2771</v>
      </c>
      <c r="H415" s="8" t="s">
        <v>5160</v>
      </c>
      <c r="I415" s="3">
        <v>30</v>
      </c>
      <c r="J415" s="3" t="s">
        <v>5297</v>
      </c>
      <c r="K415" s="17" t="str">
        <f>HYPERLINK("http://ictvonline.org/taxonomyHistory.asp?taxnode_id=20170484","ICTVonline=20170484")</f>
        <v>ICTVonline=20170484</v>
      </c>
      <c r="L415" s="3">
        <v>414</v>
      </c>
    </row>
    <row r="416" spans="1:12" x14ac:dyDescent="0.15">
      <c r="A416" s="1" t="s">
        <v>1341</v>
      </c>
      <c r="B416" s="1" t="s">
        <v>1342</v>
      </c>
      <c r="D416" s="1" t="s">
        <v>2981</v>
      </c>
      <c r="E416" s="1" t="s">
        <v>2992</v>
      </c>
      <c r="F416" s="3">
        <v>1</v>
      </c>
      <c r="G416" s="8" t="s">
        <v>2771</v>
      </c>
      <c r="H416" s="8" t="s">
        <v>5160</v>
      </c>
      <c r="I416" s="3">
        <v>30</v>
      </c>
      <c r="J416" s="3" t="s">
        <v>5297</v>
      </c>
      <c r="K416" s="17" t="str">
        <f>HYPERLINK("http://ictvonline.org/taxonomyHistory.asp?taxnode_id=20170485","ICTVonline=20170485")</f>
        <v>ICTVonline=20170485</v>
      </c>
      <c r="L416" s="3">
        <v>415</v>
      </c>
    </row>
    <row r="417" spans="1:12" x14ac:dyDescent="0.15">
      <c r="A417" s="1" t="s">
        <v>1341</v>
      </c>
      <c r="B417" s="1" t="s">
        <v>1342</v>
      </c>
      <c r="D417" s="1" t="s">
        <v>2981</v>
      </c>
      <c r="E417" s="1" t="s">
        <v>2993</v>
      </c>
      <c r="F417" s="3">
        <v>0</v>
      </c>
      <c r="G417" s="8" t="s">
        <v>2771</v>
      </c>
      <c r="H417" s="8" t="s">
        <v>5160</v>
      </c>
      <c r="I417" s="3">
        <v>30</v>
      </c>
      <c r="J417" s="3" t="s">
        <v>5297</v>
      </c>
      <c r="K417" s="17" t="str">
        <f>HYPERLINK("http://ictvonline.org/taxonomyHistory.asp?taxnode_id=20170486","ICTVonline=20170486")</f>
        <v>ICTVonline=20170486</v>
      </c>
      <c r="L417" s="3">
        <v>416</v>
      </c>
    </row>
    <row r="418" spans="1:12" x14ac:dyDescent="0.15">
      <c r="A418" s="1" t="s">
        <v>1341</v>
      </c>
      <c r="B418" s="1" t="s">
        <v>1342</v>
      </c>
      <c r="D418" s="1" t="s">
        <v>2994</v>
      </c>
      <c r="E418" s="1" t="s">
        <v>4438</v>
      </c>
      <c r="F418" s="3">
        <v>0</v>
      </c>
      <c r="G418" s="8" t="s">
        <v>2771</v>
      </c>
      <c r="H418" s="8" t="s">
        <v>5159</v>
      </c>
      <c r="I418" s="3">
        <v>31</v>
      </c>
      <c r="J418" s="3" t="s">
        <v>5326</v>
      </c>
      <c r="K418" s="17" t="str">
        <f>HYPERLINK("http://ictvonline.org/taxonomyHistory.asp?taxnode_id=20170488","ICTVonline=20170488")</f>
        <v>ICTVonline=20170488</v>
      </c>
      <c r="L418" s="3">
        <v>417</v>
      </c>
    </row>
    <row r="419" spans="1:12" x14ac:dyDescent="0.15">
      <c r="A419" s="1" t="s">
        <v>1341</v>
      </c>
      <c r="B419" s="1" t="s">
        <v>1342</v>
      </c>
      <c r="D419" s="1" t="s">
        <v>2994</v>
      </c>
      <c r="E419" s="1" t="s">
        <v>2996</v>
      </c>
      <c r="F419" s="3">
        <v>1</v>
      </c>
      <c r="G419" s="8" t="s">
        <v>2771</v>
      </c>
      <c r="H419" s="8" t="s">
        <v>5160</v>
      </c>
      <c r="I419" s="3">
        <v>30</v>
      </c>
      <c r="J419" s="3" t="s">
        <v>5297</v>
      </c>
      <c r="K419" s="17" t="str">
        <f>HYPERLINK("http://ictvonline.org/taxonomyHistory.asp?taxnode_id=20170489","ICTVonline=20170489")</f>
        <v>ICTVonline=20170489</v>
      </c>
      <c r="L419" s="3">
        <v>418</v>
      </c>
    </row>
    <row r="420" spans="1:12" x14ac:dyDescent="0.15">
      <c r="A420" s="1" t="s">
        <v>1341</v>
      </c>
      <c r="B420" s="1" t="s">
        <v>1342</v>
      </c>
      <c r="D420" s="1" t="s">
        <v>2997</v>
      </c>
      <c r="E420" s="1" t="s">
        <v>2998</v>
      </c>
      <c r="F420" s="3">
        <v>1</v>
      </c>
      <c r="G420" s="8" t="s">
        <v>2771</v>
      </c>
      <c r="H420" s="8" t="s">
        <v>5159</v>
      </c>
      <c r="I420" s="3">
        <v>30</v>
      </c>
      <c r="J420" s="3" t="s">
        <v>5338</v>
      </c>
      <c r="K420" s="17" t="str">
        <f>HYPERLINK("http://ictvonline.org/taxonomyHistory.asp?taxnode_id=20170491","ICTVonline=20170491")</f>
        <v>ICTVonline=20170491</v>
      </c>
      <c r="L420" s="3">
        <v>419</v>
      </c>
    </row>
    <row r="421" spans="1:12" x14ac:dyDescent="0.15">
      <c r="A421" s="1" t="s">
        <v>1341</v>
      </c>
      <c r="B421" s="1" t="s">
        <v>1342</v>
      </c>
      <c r="D421" s="1" t="s">
        <v>4439</v>
      </c>
      <c r="E421" s="1" t="s">
        <v>4440</v>
      </c>
      <c r="F421" s="3">
        <v>0</v>
      </c>
      <c r="G421" s="8" t="s">
        <v>2771</v>
      </c>
      <c r="H421" s="8" t="s">
        <v>5159</v>
      </c>
      <c r="I421" s="3">
        <v>31</v>
      </c>
      <c r="J421" s="3" t="s">
        <v>5339</v>
      </c>
      <c r="K421" s="17" t="str">
        <f>HYPERLINK("http://ictvonline.org/taxonomyHistory.asp?taxnode_id=20170493","ICTVonline=20170493")</f>
        <v>ICTVonline=20170493</v>
      </c>
      <c r="L421" s="3">
        <v>420</v>
      </c>
    </row>
    <row r="422" spans="1:12" x14ac:dyDescent="0.15">
      <c r="A422" s="1" t="s">
        <v>1341</v>
      </c>
      <c r="B422" s="1" t="s">
        <v>1342</v>
      </c>
      <c r="D422" s="1" t="s">
        <v>4439</v>
      </c>
      <c r="E422" s="1" t="s">
        <v>4441</v>
      </c>
      <c r="F422" s="3">
        <v>1</v>
      </c>
      <c r="G422" s="8" t="s">
        <v>2771</v>
      </c>
      <c r="H422" s="8" t="s">
        <v>5159</v>
      </c>
      <c r="I422" s="3">
        <v>31</v>
      </c>
      <c r="J422" s="3" t="s">
        <v>5339</v>
      </c>
      <c r="K422" s="17" t="str">
        <f>HYPERLINK("http://ictvonline.org/taxonomyHistory.asp?taxnode_id=20170494","ICTVonline=20170494")</f>
        <v>ICTVonline=20170494</v>
      </c>
      <c r="L422" s="3">
        <v>421</v>
      </c>
    </row>
    <row r="423" spans="1:12" x14ac:dyDescent="0.15">
      <c r="A423" s="1" t="s">
        <v>1341</v>
      </c>
      <c r="B423" s="1" t="s">
        <v>1342</v>
      </c>
      <c r="D423" s="1" t="s">
        <v>4442</v>
      </c>
      <c r="E423" s="1" t="s">
        <v>4443</v>
      </c>
      <c r="F423" s="3">
        <v>1</v>
      </c>
      <c r="G423" s="8" t="s">
        <v>2771</v>
      </c>
      <c r="H423" s="8" t="s">
        <v>5159</v>
      </c>
      <c r="I423" s="3">
        <v>31</v>
      </c>
      <c r="J423" s="3" t="s">
        <v>5340</v>
      </c>
      <c r="K423" s="17" t="str">
        <f>HYPERLINK("http://ictvonline.org/taxonomyHistory.asp?taxnode_id=20170496","ICTVonline=20170496")</f>
        <v>ICTVonline=20170496</v>
      </c>
      <c r="L423" s="3">
        <v>422</v>
      </c>
    </row>
    <row r="424" spans="1:12" x14ac:dyDescent="0.15">
      <c r="A424" s="1" t="s">
        <v>1341</v>
      </c>
      <c r="B424" s="1" t="s">
        <v>1342</v>
      </c>
      <c r="D424" s="1" t="s">
        <v>2999</v>
      </c>
      <c r="E424" s="1" t="s">
        <v>3000</v>
      </c>
      <c r="F424" s="3">
        <v>1</v>
      </c>
      <c r="G424" s="8" t="s">
        <v>2771</v>
      </c>
      <c r="H424" s="8" t="s">
        <v>5160</v>
      </c>
      <c r="I424" s="3">
        <v>30</v>
      </c>
      <c r="J424" s="3" t="s">
        <v>5305</v>
      </c>
      <c r="K424" s="17" t="str">
        <f>HYPERLINK("http://ictvonline.org/taxonomyHistory.asp?taxnode_id=20170498","ICTVonline=20170498")</f>
        <v>ICTVonline=20170498</v>
      </c>
      <c r="L424" s="3">
        <v>423</v>
      </c>
    </row>
    <row r="425" spans="1:12" x14ac:dyDescent="0.15">
      <c r="A425" s="1" t="s">
        <v>1341</v>
      </c>
      <c r="B425" s="1" t="s">
        <v>1342</v>
      </c>
      <c r="D425" s="1" t="s">
        <v>2999</v>
      </c>
      <c r="E425" s="1" t="s">
        <v>3001</v>
      </c>
      <c r="F425" s="3">
        <v>0</v>
      </c>
      <c r="G425" s="8" t="s">
        <v>2771</v>
      </c>
      <c r="H425" s="8" t="s">
        <v>5160</v>
      </c>
      <c r="I425" s="3">
        <v>30</v>
      </c>
      <c r="J425" s="3" t="s">
        <v>5305</v>
      </c>
      <c r="K425" s="17" t="str">
        <f>HYPERLINK("http://ictvonline.org/taxonomyHistory.asp?taxnode_id=20170499","ICTVonline=20170499")</f>
        <v>ICTVonline=20170499</v>
      </c>
      <c r="L425" s="3">
        <v>424</v>
      </c>
    </row>
    <row r="426" spans="1:12" x14ac:dyDescent="0.15">
      <c r="A426" s="1" t="s">
        <v>1341</v>
      </c>
      <c r="B426" s="1" t="s">
        <v>1342</v>
      </c>
      <c r="D426" s="1" t="s">
        <v>2999</v>
      </c>
      <c r="E426" s="1" t="s">
        <v>3002</v>
      </c>
      <c r="F426" s="3">
        <v>0</v>
      </c>
      <c r="G426" s="8" t="s">
        <v>2771</v>
      </c>
      <c r="H426" s="8" t="s">
        <v>5159</v>
      </c>
      <c r="I426" s="3">
        <v>30</v>
      </c>
      <c r="J426" s="3" t="s">
        <v>5341</v>
      </c>
      <c r="K426" s="17" t="str">
        <f>HYPERLINK("http://ictvonline.org/taxonomyHistory.asp?taxnode_id=20170500","ICTVonline=20170500")</f>
        <v>ICTVonline=20170500</v>
      </c>
      <c r="L426" s="3">
        <v>425</v>
      </c>
    </row>
    <row r="427" spans="1:12" x14ac:dyDescent="0.15">
      <c r="A427" s="1" t="s">
        <v>1341</v>
      </c>
      <c r="B427" s="1" t="s">
        <v>1342</v>
      </c>
      <c r="D427" s="1" t="s">
        <v>2999</v>
      </c>
      <c r="E427" s="1" t="s">
        <v>3003</v>
      </c>
      <c r="F427" s="3">
        <v>0</v>
      </c>
      <c r="G427" s="8" t="s">
        <v>2771</v>
      </c>
      <c r="H427" s="8" t="s">
        <v>5159</v>
      </c>
      <c r="I427" s="3">
        <v>30</v>
      </c>
      <c r="J427" s="3" t="s">
        <v>5341</v>
      </c>
      <c r="K427" s="17" t="str">
        <f>HYPERLINK("http://ictvonline.org/taxonomyHistory.asp?taxnode_id=20170501","ICTVonline=20170501")</f>
        <v>ICTVonline=20170501</v>
      </c>
      <c r="L427" s="3">
        <v>426</v>
      </c>
    </row>
    <row r="428" spans="1:12" x14ac:dyDescent="0.15">
      <c r="A428" s="1" t="s">
        <v>1341</v>
      </c>
      <c r="B428" s="1" t="s">
        <v>1342</v>
      </c>
      <c r="D428" s="1" t="s">
        <v>2999</v>
      </c>
      <c r="E428" s="1" t="s">
        <v>3004</v>
      </c>
      <c r="F428" s="3">
        <v>0</v>
      </c>
      <c r="G428" s="8" t="s">
        <v>2771</v>
      </c>
      <c r="H428" s="8" t="s">
        <v>5159</v>
      </c>
      <c r="I428" s="3">
        <v>30</v>
      </c>
      <c r="J428" s="3" t="s">
        <v>5341</v>
      </c>
      <c r="K428" s="17" t="str">
        <f>HYPERLINK("http://ictvonline.org/taxonomyHistory.asp?taxnode_id=20170502","ICTVonline=20170502")</f>
        <v>ICTVonline=20170502</v>
      </c>
      <c r="L428" s="3">
        <v>427</v>
      </c>
    </row>
    <row r="429" spans="1:12" x14ac:dyDescent="0.15">
      <c r="A429" s="1" t="s">
        <v>1341</v>
      </c>
      <c r="B429" s="1" t="s">
        <v>1342</v>
      </c>
      <c r="D429" s="1" t="s">
        <v>2999</v>
      </c>
      <c r="E429" s="1" t="s">
        <v>3005</v>
      </c>
      <c r="F429" s="3">
        <v>0</v>
      </c>
      <c r="G429" s="8" t="s">
        <v>2771</v>
      </c>
      <c r="H429" s="8" t="s">
        <v>5159</v>
      </c>
      <c r="I429" s="3">
        <v>30</v>
      </c>
      <c r="J429" s="3" t="s">
        <v>5341</v>
      </c>
      <c r="K429" s="17" t="str">
        <f>HYPERLINK("http://ictvonline.org/taxonomyHistory.asp?taxnode_id=20170503","ICTVonline=20170503")</f>
        <v>ICTVonline=20170503</v>
      </c>
      <c r="L429" s="3">
        <v>428</v>
      </c>
    </row>
    <row r="430" spans="1:12" x14ac:dyDescent="0.15">
      <c r="A430" s="1" t="s">
        <v>1341</v>
      </c>
      <c r="B430" s="1" t="s">
        <v>1342</v>
      </c>
      <c r="D430" s="1" t="s">
        <v>4444</v>
      </c>
      <c r="E430" s="1" t="s">
        <v>4445</v>
      </c>
      <c r="F430" s="3">
        <v>0</v>
      </c>
      <c r="G430" s="8" t="s">
        <v>2771</v>
      </c>
      <c r="H430" s="8" t="s">
        <v>5159</v>
      </c>
      <c r="I430" s="3">
        <v>31</v>
      </c>
      <c r="J430" s="3" t="s">
        <v>5342</v>
      </c>
      <c r="K430" s="17" t="str">
        <f>HYPERLINK("http://ictvonline.org/taxonomyHistory.asp?taxnode_id=20170505","ICTVonline=20170505")</f>
        <v>ICTVonline=20170505</v>
      </c>
      <c r="L430" s="3">
        <v>429</v>
      </c>
    </row>
    <row r="431" spans="1:12" x14ac:dyDescent="0.15">
      <c r="A431" s="1" t="s">
        <v>1341</v>
      </c>
      <c r="B431" s="1" t="s">
        <v>1342</v>
      </c>
      <c r="D431" s="1" t="s">
        <v>4444</v>
      </c>
      <c r="E431" s="1" t="s">
        <v>4446</v>
      </c>
      <c r="F431" s="3">
        <v>1</v>
      </c>
      <c r="G431" s="8" t="s">
        <v>2771</v>
      </c>
      <c r="H431" s="8" t="s">
        <v>5159</v>
      </c>
      <c r="I431" s="3">
        <v>31</v>
      </c>
      <c r="J431" s="3" t="s">
        <v>5342</v>
      </c>
      <c r="K431" s="17" t="str">
        <f>HYPERLINK("http://ictvonline.org/taxonomyHistory.asp?taxnode_id=20170506","ICTVonline=20170506")</f>
        <v>ICTVonline=20170506</v>
      </c>
      <c r="L431" s="3">
        <v>430</v>
      </c>
    </row>
    <row r="432" spans="1:12" x14ac:dyDescent="0.15">
      <c r="A432" s="1" t="s">
        <v>1341</v>
      </c>
      <c r="B432" s="1" t="s">
        <v>1342</v>
      </c>
      <c r="D432" s="1" t="s">
        <v>4447</v>
      </c>
      <c r="E432" s="1" t="s">
        <v>4448</v>
      </c>
      <c r="F432" s="3">
        <v>1</v>
      </c>
      <c r="G432" s="8" t="s">
        <v>2771</v>
      </c>
      <c r="H432" s="8" t="s">
        <v>5159</v>
      </c>
      <c r="I432" s="3">
        <v>31</v>
      </c>
      <c r="J432" s="3" t="s">
        <v>5343</v>
      </c>
      <c r="K432" s="17" t="str">
        <f>HYPERLINK("http://ictvonline.org/taxonomyHistory.asp?taxnode_id=20170508","ICTVonline=20170508")</f>
        <v>ICTVonline=20170508</v>
      </c>
      <c r="L432" s="3">
        <v>431</v>
      </c>
    </row>
    <row r="433" spans="1:12" x14ac:dyDescent="0.15">
      <c r="A433" s="1" t="s">
        <v>1341</v>
      </c>
      <c r="B433" s="1" t="s">
        <v>1342</v>
      </c>
      <c r="D433" s="1" t="s">
        <v>5344</v>
      </c>
      <c r="E433" s="1" t="s">
        <v>5345</v>
      </c>
      <c r="F433" s="3">
        <v>0</v>
      </c>
      <c r="G433" s="8" t="s">
        <v>2771</v>
      </c>
      <c r="H433" s="8" t="s">
        <v>5159</v>
      </c>
      <c r="I433" s="3">
        <v>32</v>
      </c>
      <c r="J433" s="3" t="s">
        <v>5346</v>
      </c>
      <c r="K433" s="17" t="str">
        <f>HYPERLINK("http://ictvonline.org/taxonomyHistory.asp?taxnode_id=20175485","ICTVonline=20175485")</f>
        <v>ICTVonline=20175485</v>
      </c>
      <c r="L433" s="3">
        <v>432</v>
      </c>
    </row>
    <row r="434" spans="1:12" x14ac:dyDescent="0.15">
      <c r="A434" s="1" t="s">
        <v>1341</v>
      </c>
      <c r="B434" s="1" t="s">
        <v>1342</v>
      </c>
      <c r="D434" s="1" t="s">
        <v>5344</v>
      </c>
      <c r="E434" s="1" t="s">
        <v>5347</v>
      </c>
      <c r="F434" s="3">
        <v>1</v>
      </c>
      <c r="G434" s="8" t="s">
        <v>2771</v>
      </c>
      <c r="H434" s="8" t="s">
        <v>5159</v>
      </c>
      <c r="I434" s="3">
        <v>32</v>
      </c>
      <c r="J434" s="3" t="s">
        <v>5346</v>
      </c>
      <c r="K434" s="17" t="str">
        <f>HYPERLINK("http://ictvonline.org/taxonomyHistory.asp?taxnode_id=20175486","ICTVonline=20175486")</f>
        <v>ICTVonline=20175486</v>
      </c>
      <c r="L434" s="3">
        <v>433</v>
      </c>
    </row>
    <row r="435" spans="1:12" x14ac:dyDescent="0.15">
      <c r="A435" s="1" t="s">
        <v>1341</v>
      </c>
      <c r="B435" s="1" t="s">
        <v>1342</v>
      </c>
      <c r="D435" s="1" t="s">
        <v>3006</v>
      </c>
      <c r="E435" s="1" t="s">
        <v>3007</v>
      </c>
      <c r="F435" s="3">
        <v>0</v>
      </c>
      <c r="G435" s="8" t="s">
        <v>2771</v>
      </c>
      <c r="H435" s="8" t="s">
        <v>5159</v>
      </c>
      <c r="I435" s="3">
        <v>30</v>
      </c>
      <c r="J435" s="3" t="s">
        <v>5348</v>
      </c>
      <c r="K435" s="17" t="str">
        <f>HYPERLINK("http://ictvonline.org/taxonomyHistory.asp?taxnode_id=20170510","ICTVonline=20170510")</f>
        <v>ICTVonline=20170510</v>
      </c>
      <c r="L435" s="3">
        <v>434</v>
      </c>
    </row>
    <row r="436" spans="1:12" x14ac:dyDescent="0.15">
      <c r="A436" s="1" t="s">
        <v>1341</v>
      </c>
      <c r="B436" s="1" t="s">
        <v>1342</v>
      </c>
      <c r="D436" s="1" t="s">
        <v>3006</v>
      </c>
      <c r="E436" s="1" t="s">
        <v>3008</v>
      </c>
      <c r="F436" s="3">
        <v>1</v>
      </c>
      <c r="G436" s="8" t="s">
        <v>2771</v>
      </c>
      <c r="H436" s="8" t="s">
        <v>5159</v>
      </c>
      <c r="I436" s="3">
        <v>30</v>
      </c>
      <c r="J436" s="3" t="s">
        <v>5348</v>
      </c>
      <c r="K436" s="17" t="str">
        <f>HYPERLINK("http://ictvonline.org/taxonomyHistory.asp?taxnode_id=20170511","ICTVonline=20170511")</f>
        <v>ICTVonline=20170511</v>
      </c>
      <c r="L436" s="3">
        <v>435</v>
      </c>
    </row>
    <row r="437" spans="1:12" x14ac:dyDescent="0.15">
      <c r="A437" s="1" t="s">
        <v>1341</v>
      </c>
      <c r="B437" s="1" t="s">
        <v>1342</v>
      </c>
      <c r="D437" s="1" t="s">
        <v>908</v>
      </c>
      <c r="E437" s="1" t="s">
        <v>3009</v>
      </c>
      <c r="F437" s="3">
        <v>0</v>
      </c>
      <c r="G437" s="8" t="s">
        <v>2771</v>
      </c>
      <c r="H437" s="8" t="s">
        <v>5162</v>
      </c>
      <c r="I437" s="3">
        <v>30</v>
      </c>
      <c r="J437" s="3" t="s">
        <v>5297</v>
      </c>
      <c r="K437" s="17" t="str">
        <f>HYPERLINK("http://ictvonline.org/taxonomyHistory.asp?taxnode_id=20170513","ICTVonline=20170513")</f>
        <v>ICTVonline=20170513</v>
      </c>
      <c r="L437" s="3">
        <v>436</v>
      </c>
    </row>
    <row r="438" spans="1:12" x14ac:dyDescent="0.15">
      <c r="A438" s="1" t="s">
        <v>1341</v>
      </c>
      <c r="B438" s="1" t="s">
        <v>1342</v>
      </c>
      <c r="D438" s="1" t="s">
        <v>908</v>
      </c>
      <c r="E438" s="1" t="s">
        <v>3010</v>
      </c>
      <c r="F438" s="3">
        <v>0</v>
      </c>
      <c r="G438" s="8" t="s">
        <v>2771</v>
      </c>
      <c r="H438" s="8" t="s">
        <v>5162</v>
      </c>
      <c r="I438" s="3">
        <v>30</v>
      </c>
      <c r="J438" s="3" t="s">
        <v>5297</v>
      </c>
      <c r="K438" s="17" t="str">
        <f>HYPERLINK("http://ictvonline.org/taxonomyHistory.asp?taxnode_id=20170514","ICTVonline=20170514")</f>
        <v>ICTVonline=20170514</v>
      </c>
      <c r="L438" s="3">
        <v>437</v>
      </c>
    </row>
    <row r="439" spans="1:12" x14ac:dyDescent="0.15">
      <c r="A439" s="1" t="s">
        <v>1341</v>
      </c>
      <c r="B439" s="1" t="s">
        <v>1342</v>
      </c>
      <c r="D439" s="1" t="s">
        <v>908</v>
      </c>
      <c r="E439" s="1" t="s">
        <v>3011</v>
      </c>
      <c r="F439" s="3">
        <v>0</v>
      </c>
      <c r="G439" s="8" t="s">
        <v>2771</v>
      </c>
      <c r="H439" s="8" t="s">
        <v>5162</v>
      </c>
      <c r="I439" s="3">
        <v>30</v>
      </c>
      <c r="J439" s="3" t="s">
        <v>5297</v>
      </c>
      <c r="K439" s="17" t="str">
        <f>HYPERLINK("http://ictvonline.org/taxonomyHistory.asp?taxnode_id=20170515","ICTVonline=20170515")</f>
        <v>ICTVonline=20170515</v>
      </c>
      <c r="L439" s="3">
        <v>438</v>
      </c>
    </row>
    <row r="440" spans="1:12" x14ac:dyDescent="0.15">
      <c r="A440" s="1" t="s">
        <v>1341</v>
      </c>
      <c r="B440" s="1" t="s">
        <v>1342</v>
      </c>
      <c r="D440" s="1" t="s">
        <v>3012</v>
      </c>
      <c r="E440" s="1" t="s">
        <v>3013</v>
      </c>
      <c r="F440" s="3">
        <v>0</v>
      </c>
      <c r="G440" s="8" t="s">
        <v>2771</v>
      </c>
      <c r="H440" s="8" t="s">
        <v>5159</v>
      </c>
      <c r="I440" s="3">
        <v>30</v>
      </c>
      <c r="J440" s="3" t="s">
        <v>5349</v>
      </c>
      <c r="K440" s="17" t="str">
        <f>HYPERLINK("http://ictvonline.org/taxonomyHistory.asp?taxnode_id=20170517","ICTVonline=20170517")</f>
        <v>ICTVonline=20170517</v>
      </c>
      <c r="L440" s="3">
        <v>439</v>
      </c>
    </row>
    <row r="441" spans="1:12" x14ac:dyDescent="0.15">
      <c r="A441" s="1" t="s">
        <v>1341</v>
      </c>
      <c r="B441" s="1" t="s">
        <v>1342</v>
      </c>
      <c r="D441" s="1" t="s">
        <v>3012</v>
      </c>
      <c r="E441" s="1" t="s">
        <v>3014</v>
      </c>
      <c r="F441" s="3">
        <v>1</v>
      </c>
      <c r="G441" s="8" t="s">
        <v>2771</v>
      </c>
      <c r="H441" s="8" t="s">
        <v>5159</v>
      </c>
      <c r="I441" s="3">
        <v>30</v>
      </c>
      <c r="J441" s="3" t="s">
        <v>5349</v>
      </c>
      <c r="K441" s="17" t="str">
        <f>HYPERLINK("http://ictvonline.org/taxonomyHistory.asp?taxnode_id=20170518","ICTVonline=20170518")</f>
        <v>ICTVonline=20170518</v>
      </c>
      <c r="L441" s="3">
        <v>440</v>
      </c>
    </row>
    <row r="442" spans="1:12" x14ac:dyDescent="0.15">
      <c r="A442" s="1" t="s">
        <v>1341</v>
      </c>
      <c r="B442" s="1" t="s">
        <v>1342</v>
      </c>
      <c r="D442" s="1" t="s">
        <v>3012</v>
      </c>
      <c r="E442" s="1" t="s">
        <v>3015</v>
      </c>
      <c r="F442" s="3">
        <v>0</v>
      </c>
      <c r="G442" s="8" t="s">
        <v>2771</v>
      </c>
      <c r="H442" s="8" t="s">
        <v>5159</v>
      </c>
      <c r="I442" s="3">
        <v>30</v>
      </c>
      <c r="J442" s="3" t="s">
        <v>5349</v>
      </c>
      <c r="K442" s="17" t="str">
        <f>HYPERLINK("http://ictvonline.org/taxonomyHistory.asp?taxnode_id=20170519","ICTVonline=20170519")</f>
        <v>ICTVonline=20170519</v>
      </c>
      <c r="L442" s="3">
        <v>441</v>
      </c>
    </row>
    <row r="443" spans="1:12" x14ac:dyDescent="0.15">
      <c r="A443" s="1" t="s">
        <v>1341</v>
      </c>
      <c r="B443" s="1" t="s">
        <v>1342</v>
      </c>
      <c r="D443" s="1" t="s">
        <v>3031</v>
      </c>
      <c r="E443" s="1" t="s">
        <v>4449</v>
      </c>
      <c r="F443" s="3">
        <v>0</v>
      </c>
      <c r="G443" s="8" t="s">
        <v>2771</v>
      </c>
      <c r="H443" s="8" t="s">
        <v>5159</v>
      </c>
      <c r="I443" s="3">
        <v>31</v>
      </c>
      <c r="J443" s="3" t="s">
        <v>5350</v>
      </c>
      <c r="K443" s="17" t="str">
        <f>HYPERLINK("http://ictvonline.org/taxonomyHistory.asp?taxnode_id=20170536","ICTVonline=20170536")</f>
        <v>ICTVonline=20170536</v>
      </c>
      <c r="L443" s="3">
        <v>442</v>
      </c>
    </row>
    <row r="444" spans="1:12" x14ac:dyDescent="0.15">
      <c r="A444" s="1" t="s">
        <v>1341</v>
      </c>
      <c r="B444" s="1" t="s">
        <v>1342</v>
      </c>
      <c r="D444" s="1" t="s">
        <v>3031</v>
      </c>
      <c r="E444" s="1" t="s">
        <v>4450</v>
      </c>
      <c r="F444" s="3">
        <v>0</v>
      </c>
      <c r="G444" s="8" t="s">
        <v>2771</v>
      </c>
      <c r="H444" s="8" t="s">
        <v>5159</v>
      </c>
      <c r="I444" s="3">
        <v>31</v>
      </c>
      <c r="J444" s="3" t="s">
        <v>5350</v>
      </c>
      <c r="K444" s="17" t="str">
        <f>HYPERLINK("http://ictvonline.org/taxonomyHistory.asp?taxnode_id=20170537","ICTVonline=20170537")</f>
        <v>ICTVonline=20170537</v>
      </c>
      <c r="L444" s="3">
        <v>443</v>
      </c>
    </row>
    <row r="445" spans="1:12" x14ac:dyDescent="0.15">
      <c r="A445" s="1" t="s">
        <v>1341</v>
      </c>
      <c r="B445" s="1" t="s">
        <v>1342</v>
      </c>
      <c r="D445" s="1" t="s">
        <v>3031</v>
      </c>
      <c r="E445" s="1" t="s">
        <v>4451</v>
      </c>
      <c r="F445" s="3">
        <v>0</v>
      </c>
      <c r="G445" s="8" t="s">
        <v>2771</v>
      </c>
      <c r="H445" s="8" t="s">
        <v>5159</v>
      </c>
      <c r="I445" s="3">
        <v>31</v>
      </c>
      <c r="J445" s="3" t="s">
        <v>5350</v>
      </c>
      <c r="K445" s="17" t="str">
        <f>HYPERLINK("http://ictvonline.org/taxonomyHistory.asp?taxnode_id=20170538","ICTVonline=20170538")</f>
        <v>ICTVonline=20170538</v>
      </c>
      <c r="L445" s="3">
        <v>444</v>
      </c>
    </row>
    <row r="446" spans="1:12" x14ac:dyDescent="0.15">
      <c r="A446" s="1" t="s">
        <v>1341</v>
      </c>
      <c r="B446" s="1" t="s">
        <v>1342</v>
      </c>
      <c r="D446" s="1" t="s">
        <v>3031</v>
      </c>
      <c r="E446" s="1" t="s">
        <v>3032</v>
      </c>
      <c r="F446" s="3">
        <v>1</v>
      </c>
      <c r="G446" s="8" t="s">
        <v>2771</v>
      </c>
      <c r="H446" s="8" t="s">
        <v>5159</v>
      </c>
      <c r="I446" s="3">
        <v>30</v>
      </c>
      <c r="J446" s="3" t="s">
        <v>5351</v>
      </c>
      <c r="K446" s="17" t="str">
        <f>HYPERLINK("http://ictvonline.org/taxonomyHistory.asp?taxnode_id=20170539","ICTVonline=20170539")</f>
        <v>ICTVonline=20170539</v>
      </c>
      <c r="L446" s="3">
        <v>445</v>
      </c>
    </row>
    <row r="447" spans="1:12" x14ac:dyDescent="0.15">
      <c r="A447" s="1" t="s">
        <v>1341</v>
      </c>
      <c r="B447" s="1" t="s">
        <v>903</v>
      </c>
      <c r="C447" s="1" t="s">
        <v>1366</v>
      </c>
      <c r="D447" s="1" t="s">
        <v>4452</v>
      </c>
      <c r="E447" s="1" t="s">
        <v>4453</v>
      </c>
      <c r="F447" s="3">
        <v>0</v>
      </c>
      <c r="G447" s="8" t="s">
        <v>2771</v>
      </c>
      <c r="H447" s="8" t="s">
        <v>5159</v>
      </c>
      <c r="I447" s="3">
        <v>31</v>
      </c>
      <c r="J447" s="3" t="s">
        <v>5352</v>
      </c>
      <c r="K447" s="17" t="str">
        <f>HYPERLINK("http://ictvonline.org/taxonomyHistory.asp?taxnode_id=20170543","ICTVonline=20170543")</f>
        <v>ICTVonline=20170543</v>
      </c>
      <c r="L447" s="3">
        <v>446</v>
      </c>
    </row>
    <row r="448" spans="1:12" x14ac:dyDescent="0.15">
      <c r="A448" s="1" t="s">
        <v>1341</v>
      </c>
      <c r="B448" s="1" t="s">
        <v>903</v>
      </c>
      <c r="C448" s="1" t="s">
        <v>1366</v>
      </c>
      <c r="D448" s="1" t="s">
        <v>4452</v>
      </c>
      <c r="E448" s="1" t="s">
        <v>4454</v>
      </c>
      <c r="F448" s="3">
        <v>0</v>
      </c>
      <c r="G448" s="8" t="s">
        <v>2771</v>
      </c>
      <c r="H448" s="8" t="s">
        <v>5159</v>
      </c>
      <c r="I448" s="3">
        <v>31</v>
      </c>
      <c r="J448" s="3" t="s">
        <v>5352</v>
      </c>
      <c r="K448" s="17" t="str">
        <f>HYPERLINK("http://ictvonline.org/taxonomyHistory.asp?taxnode_id=20170544","ICTVonline=20170544")</f>
        <v>ICTVonline=20170544</v>
      </c>
      <c r="L448" s="3">
        <v>447</v>
      </c>
    </row>
    <row r="449" spans="1:12" x14ac:dyDescent="0.15">
      <c r="A449" s="1" t="s">
        <v>1341</v>
      </c>
      <c r="B449" s="1" t="s">
        <v>903</v>
      </c>
      <c r="C449" s="1" t="s">
        <v>1366</v>
      </c>
      <c r="D449" s="1" t="s">
        <v>4452</v>
      </c>
      <c r="E449" s="1" t="s">
        <v>4455</v>
      </c>
      <c r="F449" s="3">
        <v>1</v>
      </c>
      <c r="G449" s="8" t="s">
        <v>2771</v>
      </c>
      <c r="H449" s="8" t="s">
        <v>5159</v>
      </c>
      <c r="I449" s="3">
        <v>31</v>
      </c>
      <c r="J449" s="3" t="s">
        <v>5352</v>
      </c>
      <c r="K449" s="17" t="str">
        <f>HYPERLINK("http://ictvonline.org/taxonomyHistory.asp?taxnode_id=20170545","ICTVonline=20170545")</f>
        <v>ICTVonline=20170545</v>
      </c>
      <c r="L449" s="3">
        <v>448</v>
      </c>
    </row>
    <row r="450" spans="1:12" x14ac:dyDescent="0.15">
      <c r="A450" s="1" t="s">
        <v>1341</v>
      </c>
      <c r="B450" s="1" t="s">
        <v>903</v>
      </c>
      <c r="C450" s="1" t="s">
        <v>1366</v>
      </c>
      <c r="D450" s="1" t="s">
        <v>4452</v>
      </c>
      <c r="E450" s="1" t="s">
        <v>4456</v>
      </c>
      <c r="F450" s="3">
        <v>0</v>
      </c>
      <c r="G450" s="8" t="s">
        <v>2771</v>
      </c>
      <c r="H450" s="8" t="s">
        <v>5159</v>
      </c>
      <c r="I450" s="3">
        <v>31</v>
      </c>
      <c r="J450" s="3" t="s">
        <v>5352</v>
      </c>
      <c r="K450" s="17" t="str">
        <f>HYPERLINK("http://ictvonline.org/taxonomyHistory.asp?taxnode_id=20170546","ICTVonline=20170546")</f>
        <v>ICTVonline=20170546</v>
      </c>
      <c r="L450" s="3">
        <v>449</v>
      </c>
    </row>
    <row r="451" spans="1:12" x14ac:dyDescent="0.15">
      <c r="A451" s="1" t="s">
        <v>1341</v>
      </c>
      <c r="B451" s="1" t="s">
        <v>903</v>
      </c>
      <c r="C451" s="1" t="s">
        <v>1366</v>
      </c>
      <c r="D451" s="1" t="s">
        <v>4452</v>
      </c>
      <c r="E451" s="1" t="s">
        <v>4457</v>
      </c>
      <c r="F451" s="3">
        <v>0</v>
      </c>
      <c r="G451" s="8" t="s">
        <v>2771</v>
      </c>
      <c r="H451" s="8" t="s">
        <v>5159</v>
      </c>
      <c r="I451" s="3">
        <v>31</v>
      </c>
      <c r="J451" s="3" t="s">
        <v>5352</v>
      </c>
      <c r="K451" s="17" t="str">
        <f>HYPERLINK("http://ictvonline.org/taxonomyHistory.asp?taxnode_id=20170547","ICTVonline=20170547")</f>
        <v>ICTVonline=20170547</v>
      </c>
      <c r="L451" s="3">
        <v>450</v>
      </c>
    </row>
    <row r="452" spans="1:12" x14ac:dyDescent="0.15">
      <c r="A452" s="1" t="s">
        <v>1341</v>
      </c>
      <c r="B452" s="1" t="s">
        <v>903</v>
      </c>
      <c r="C452" s="1" t="s">
        <v>1366</v>
      </c>
      <c r="D452" s="1" t="s">
        <v>4452</v>
      </c>
      <c r="E452" s="1" t="s">
        <v>4458</v>
      </c>
      <c r="F452" s="3">
        <v>0</v>
      </c>
      <c r="G452" s="8" t="s">
        <v>2771</v>
      </c>
      <c r="H452" s="8" t="s">
        <v>5159</v>
      </c>
      <c r="I452" s="3">
        <v>31</v>
      </c>
      <c r="J452" s="3" t="s">
        <v>5352</v>
      </c>
      <c r="K452" s="17" t="str">
        <f>HYPERLINK("http://ictvonline.org/taxonomyHistory.asp?taxnode_id=20170548","ICTVonline=20170548")</f>
        <v>ICTVonline=20170548</v>
      </c>
      <c r="L452" s="3">
        <v>451</v>
      </c>
    </row>
    <row r="453" spans="1:12" x14ac:dyDescent="0.15">
      <c r="A453" s="1" t="s">
        <v>1341</v>
      </c>
      <c r="B453" s="1" t="s">
        <v>903</v>
      </c>
      <c r="C453" s="1" t="s">
        <v>1366</v>
      </c>
      <c r="D453" s="1" t="s">
        <v>4452</v>
      </c>
      <c r="E453" s="1" t="s">
        <v>4459</v>
      </c>
      <c r="F453" s="3">
        <v>0</v>
      </c>
      <c r="G453" s="8" t="s">
        <v>2771</v>
      </c>
      <c r="H453" s="8" t="s">
        <v>5159</v>
      </c>
      <c r="I453" s="3">
        <v>31</v>
      </c>
      <c r="J453" s="3" t="s">
        <v>5352</v>
      </c>
      <c r="K453" s="17" t="str">
        <f>HYPERLINK("http://ictvonline.org/taxonomyHistory.asp?taxnode_id=20170549","ICTVonline=20170549")</f>
        <v>ICTVonline=20170549</v>
      </c>
      <c r="L453" s="3">
        <v>452</v>
      </c>
    </row>
    <row r="454" spans="1:12" x14ac:dyDescent="0.15">
      <c r="A454" s="1" t="s">
        <v>1341</v>
      </c>
      <c r="B454" s="1" t="s">
        <v>903</v>
      </c>
      <c r="C454" s="1" t="s">
        <v>1366</v>
      </c>
      <c r="D454" s="1" t="s">
        <v>4460</v>
      </c>
      <c r="E454" s="1" t="s">
        <v>4461</v>
      </c>
      <c r="F454" s="3">
        <v>0</v>
      </c>
      <c r="G454" s="8" t="s">
        <v>2771</v>
      </c>
      <c r="H454" s="8" t="s">
        <v>5159</v>
      </c>
      <c r="I454" s="3">
        <v>31</v>
      </c>
      <c r="J454" s="3" t="s">
        <v>5353</v>
      </c>
      <c r="K454" s="17" t="str">
        <f>HYPERLINK("http://ictvonline.org/taxonomyHistory.asp?taxnode_id=20170551","ICTVonline=20170551")</f>
        <v>ICTVonline=20170551</v>
      </c>
      <c r="L454" s="3">
        <v>453</v>
      </c>
    </row>
    <row r="455" spans="1:12" x14ac:dyDescent="0.15">
      <c r="A455" s="1" t="s">
        <v>1341</v>
      </c>
      <c r="B455" s="1" t="s">
        <v>903</v>
      </c>
      <c r="C455" s="1" t="s">
        <v>1366</v>
      </c>
      <c r="D455" s="1" t="s">
        <v>4460</v>
      </c>
      <c r="E455" s="1" t="s">
        <v>4462</v>
      </c>
      <c r="F455" s="3">
        <v>0</v>
      </c>
      <c r="G455" s="8" t="s">
        <v>2771</v>
      </c>
      <c r="H455" s="8" t="s">
        <v>5159</v>
      </c>
      <c r="I455" s="3">
        <v>31</v>
      </c>
      <c r="J455" s="3" t="s">
        <v>5353</v>
      </c>
      <c r="K455" s="17" t="str">
        <f>HYPERLINK("http://ictvonline.org/taxonomyHistory.asp?taxnode_id=20170552","ICTVonline=20170552")</f>
        <v>ICTVonline=20170552</v>
      </c>
      <c r="L455" s="3">
        <v>454</v>
      </c>
    </row>
    <row r="456" spans="1:12" x14ac:dyDescent="0.15">
      <c r="A456" s="1" t="s">
        <v>1341</v>
      </c>
      <c r="B456" s="1" t="s">
        <v>903</v>
      </c>
      <c r="C456" s="1" t="s">
        <v>1366</v>
      </c>
      <c r="D456" s="1" t="s">
        <v>4460</v>
      </c>
      <c r="E456" s="1" t="s">
        <v>4463</v>
      </c>
      <c r="F456" s="3">
        <v>0</v>
      </c>
      <c r="G456" s="8" t="s">
        <v>2771</v>
      </c>
      <c r="H456" s="8" t="s">
        <v>5159</v>
      </c>
      <c r="I456" s="3">
        <v>31</v>
      </c>
      <c r="J456" s="3" t="s">
        <v>5353</v>
      </c>
      <c r="K456" s="17" t="str">
        <f>HYPERLINK("http://ictvonline.org/taxonomyHistory.asp?taxnode_id=20170553","ICTVonline=20170553")</f>
        <v>ICTVonline=20170553</v>
      </c>
      <c r="L456" s="3">
        <v>455</v>
      </c>
    </row>
    <row r="457" spans="1:12" x14ac:dyDescent="0.15">
      <c r="A457" s="1" t="s">
        <v>1341</v>
      </c>
      <c r="B457" s="1" t="s">
        <v>903</v>
      </c>
      <c r="C457" s="1" t="s">
        <v>1366</v>
      </c>
      <c r="D457" s="1" t="s">
        <v>4460</v>
      </c>
      <c r="E457" s="1" t="s">
        <v>4464</v>
      </c>
      <c r="F457" s="3">
        <v>0</v>
      </c>
      <c r="G457" s="8" t="s">
        <v>2771</v>
      </c>
      <c r="H457" s="8" t="s">
        <v>5159</v>
      </c>
      <c r="I457" s="3">
        <v>31</v>
      </c>
      <c r="J457" s="3" t="s">
        <v>5353</v>
      </c>
      <c r="K457" s="17" t="str">
        <f>HYPERLINK("http://ictvonline.org/taxonomyHistory.asp?taxnode_id=20170554","ICTVonline=20170554")</f>
        <v>ICTVonline=20170554</v>
      </c>
      <c r="L457" s="3">
        <v>456</v>
      </c>
    </row>
    <row r="458" spans="1:12" x14ac:dyDescent="0.15">
      <c r="A458" s="1" t="s">
        <v>1341</v>
      </c>
      <c r="B458" s="1" t="s">
        <v>903</v>
      </c>
      <c r="C458" s="1" t="s">
        <v>1366</v>
      </c>
      <c r="D458" s="1" t="s">
        <v>4460</v>
      </c>
      <c r="E458" s="1" t="s">
        <v>4465</v>
      </c>
      <c r="F458" s="3">
        <v>1</v>
      </c>
      <c r="G458" s="8" t="s">
        <v>2771</v>
      </c>
      <c r="H458" s="8" t="s">
        <v>5159</v>
      </c>
      <c r="I458" s="3">
        <v>31</v>
      </c>
      <c r="J458" s="3" t="s">
        <v>5353</v>
      </c>
      <c r="K458" s="17" t="str">
        <f>HYPERLINK("http://ictvonline.org/taxonomyHistory.asp?taxnode_id=20170555","ICTVonline=20170555")</f>
        <v>ICTVonline=20170555</v>
      </c>
      <c r="L458" s="3">
        <v>457</v>
      </c>
    </row>
    <row r="459" spans="1:12" x14ac:dyDescent="0.15">
      <c r="A459" s="1" t="s">
        <v>1341</v>
      </c>
      <c r="B459" s="1" t="s">
        <v>903</v>
      </c>
      <c r="C459" s="1" t="s">
        <v>1366</v>
      </c>
      <c r="D459" s="1" t="s">
        <v>4460</v>
      </c>
      <c r="E459" s="1" t="s">
        <v>4466</v>
      </c>
      <c r="F459" s="3">
        <v>0</v>
      </c>
      <c r="G459" s="8" t="s">
        <v>2771</v>
      </c>
      <c r="H459" s="8" t="s">
        <v>5159</v>
      </c>
      <c r="I459" s="3">
        <v>31</v>
      </c>
      <c r="J459" s="3" t="s">
        <v>5353</v>
      </c>
      <c r="K459" s="17" t="str">
        <f>HYPERLINK("http://ictvonline.org/taxonomyHistory.asp?taxnode_id=20170556","ICTVonline=20170556")</f>
        <v>ICTVonline=20170556</v>
      </c>
      <c r="L459" s="3">
        <v>458</v>
      </c>
    </row>
    <row r="460" spans="1:12" x14ac:dyDescent="0.15">
      <c r="A460" s="1" t="s">
        <v>1341</v>
      </c>
      <c r="B460" s="1" t="s">
        <v>903</v>
      </c>
      <c r="C460" s="1" t="s">
        <v>1366</v>
      </c>
      <c r="D460" s="1" t="s">
        <v>3033</v>
      </c>
      <c r="E460" s="1" t="s">
        <v>3034</v>
      </c>
      <c r="F460" s="3">
        <v>0</v>
      </c>
      <c r="G460" s="8" t="s">
        <v>2771</v>
      </c>
      <c r="H460" s="8" t="s">
        <v>5159</v>
      </c>
      <c r="I460" s="3">
        <v>30</v>
      </c>
      <c r="J460" s="3" t="s">
        <v>5354</v>
      </c>
      <c r="K460" s="17" t="str">
        <f>HYPERLINK("http://ictvonline.org/taxonomyHistory.asp?taxnode_id=20170558","ICTVonline=20170558")</f>
        <v>ICTVonline=20170558</v>
      </c>
      <c r="L460" s="3">
        <v>459</v>
      </c>
    </row>
    <row r="461" spans="1:12" x14ac:dyDescent="0.15">
      <c r="A461" s="1" t="s">
        <v>1341</v>
      </c>
      <c r="B461" s="1" t="s">
        <v>903</v>
      </c>
      <c r="C461" s="1" t="s">
        <v>1366</v>
      </c>
      <c r="D461" s="1" t="s">
        <v>3033</v>
      </c>
      <c r="E461" s="1" t="s">
        <v>3035</v>
      </c>
      <c r="F461" s="3">
        <v>0</v>
      </c>
      <c r="G461" s="8" t="s">
        <v>2771</v>
      </c>
      <c r="H461" s="8" t="s">
        <v>5159</v>
      </c>
      <c r="I461" s="3">
        <v>30</v>
      </c>
      <c r="J461" s="3" t="s">
        <v>5354</v>
      </c>
      <c r="K461" s="17" t="str">
        <f>HYPERLINK("http://ictvonline.org/taxonomyHistory.asp?taxnode_id=20170559","ICTVonline=20170559")</f>
        <v>ICTVonline=20170559</v>
      </c>
      <c r="L461" s="3">
        <v>460</v>
      </c>
    </row>
    <row r="462" spans="1:12" x14ac:dyDescent="0.15">
      <c r="A462" s="1" t="s">
        <v>1341</v>
      </c>
      <c r="B462" s="1" t="s">
        <v>903</v>
      </c>
      <c r="C462" s="1" t="s">
        <v>1366</v>
      </c>
      <c r="D462" s="1" t="s">
        <v>3033</v>
      </c>
      <c r="E462" s="1" t="s">
        <v>4467</v>
      </c>
      <c r="F462" s="3">
        <v>0</v>
      </c>
      <c r="G462" s="8" t="s">
        <v>2771</v>
      </c>
      <c r="H462" s="8" t="s">
        <v>5159</v>
      </c>
      <c r="I462" s="3">
        <v>31</v>
      </c>
      <c r="J462" s="3" t="s">
        <v>5298</v>
      </c>
      <c r="K462" s="17" t="str">
        <f>HYPERLINK("http://ictvonline.org/taxonomyHistory.asp?taxnode_id=20170560","ICTVonline=20170560")</f>
        <v>ICTVonline=20170560</v>
      </c>
      <c r="L462" s="3">
        <v>461</v>
      </c>
    </row>
    <row r="463" spans="1:12" x14ac:dyDescent="0.15">
      <c r="A463" s="1" t="s">
        <v>1341</v>
      </c>
      <c r="B463" s="1" t="s">
        <v>903</v>
      </c>
      <c r="C463" s="1" t="s">
        <v>1366</v>
      </c>
      <c r="D463" s="1" t="s">
        <v>3033</v>
      </c>
      <c r="E463" s="1" t="s">
        <v>3036</v>
      </c>
      <c r="F463" s="3">
        <v>1</v>
      </c>
      <c r="G463" s="8" t="s">
        <v>2771</v>
      </c>
      <c r="H463" s="8" t="s">
        <v>5159</v>
      </c>
      <c r="I463" s="3">
        <v>30</v>
      </c>
      <c r="J463" s="3" t="s">
        <v>5354</v>
      </c>
      <c r="K463" s="17" t="str">
        <f>HYPERLINK("http://ictvonline.org/taxonomyHistory.asp?taxnode_id=20170561","ICTVonline=20170561")</f>
        <v>ICTVonline=20170561</v>
      </c>
      <c r="L463" s="3">
        <v>462</v>
      </c>
    </row>
    <row r="464" spans="1:12" x14ac:dyDescent="0.15">
      <c r="A464" s="1" t="s">
        <v>1341</v>
      </c>
      <c r="B464" s="1" t="s">
        <v>903</v>
      </c>
      <c r="C464" s="1" t="s">
        <v>1366</v>
      </c>
      <c r="D464" s="1" t="s">
        <v>3033</v>
      </c>
      <c r="E464" s="1" t="s">
        <v>4468</v>
      </c>
      <c r="F464" s="3">
        <v>0</v>
      </c>
      <c r="G464" s="8" t="s">
        <v>2771</v>
      </c>
      <c r="H464" s="8" t="s">
        <v>5159</v>
      </c>
      <c r="I464" s="3">
        <v>31</v>
      </c>
      <c r="J464" s="3" t="s">
        <v>5298</v>
      </c>
      <c r="K464" s="17" t="str">
        <f>HYPERLINK("http://ictvonline.org/taxonomyHistory.asp?taxnode_id=20170562","ICTVonline=20170562")</f>
        <v>ICTVonline=20170562</v>
      </c>
      <c r="L464" s="3">
        <v>463</v>
      </c>
    </row>
    <row r="465" spans="1:12" x14ac:dyDescent="0.15">
      <c r="A465" s="1" t="s">
        <v>1341</v>
      </c>
      <c r="B465" s="1" t="s">
        <v>903</v>
      </c>
      <c r="C465" s="1" t="s">
        <v>1366</v>
      </c>
      <c r="D465" s="1" t="s">
        <v>3033</v>
      </c>
      <c r="E465" s="1" t="s">
        <v>4469</v>
      </c>
      <c r="F465" s="3">
        <v>0</v>
      </c>
      <c r="G465" s="8" t="s">
        <v>2771</v>
      </c>
      <c r="H465" s="8" t="s">
        <v>5159</v>
      </c>
      <c r="I465" s="3">
        <v>31</v>
      </c>
      <c r="J465" s="3" t="s">
        <v>5298</v>
      </c>
      <c r="K465" s="17" t="str">
        <f>HYPERLINK("http://ictvonline.org/taxonomyHistory.asp?taxnode_id=20170563","ICTVonline=20170563")</f>
        <v>ICTVonline=20170563</v>
      </c>
      <c r="L465" s="3">
        <v>464</v>
      </c>
    </row>
    <row r="466" spans="1:12" x14ac:dyDescent="0.15">
      <c r="A466" s="1" t="s">
        <v>1341</v>
      </c>
      <c r="B466" s="1" t="s">
        <v>903</v>
      </c>
      <c r="C466" s="1" t="s">
        <v>1366</v>
      </c>
      <c r="D466" s="1" t="s">
        <v>3033</v>
      </c>
      <c r="E466" s="1" t="s">
        <v>4470</v>
      </c>
      <c r="F466" s="3">
        <v>0</v>
      </c>
      <c r="G466" s="8" t="s">
        <v>2771</v>
      </c>
      <c r="H466" s="8" t="s">
        <v>5159</v>
      </c>
      <c r="I466" s="3">
        <v>31</v>
      </c>
      <c r="J466" s="3" t="s">
        <v>5298</v>
      </c>
      <c r="K466" s="17" t="str">
        <f>HYPERLINK("http://ictvonline.org/taxonomyHistory.asp?taxnode_id=20170564","ICTVonline=20170564")</f>
        <v>ICTVonline=20170564</v>
      </c>
      <c r="L466" s="3">
        <v>465</v>
      </c>
    </row>
    <row r="467" spans="1:12" x14ac:dyDescent="0.15">
      <c r="A467" s="1" t="s">
        <v>1341</v>
      </c>
      <c r="B467" s="1" t="s">
        <v>903</v>
      </c>
      <c r="C467" s="1" t="s">
        <v>1366</v>
      </c>
      <c r="D467" s="1" t="s">
        <v>3033</v>
      </c>
      <c r="E467" s="1" t="s">
        <v>3037</v>
      </c>
      <c r="F467" s="3">
        <v>0</v>
      </c>
      <c r="G467" s="8" t="s">
        <v>2771</v>
      </c>
      <c r="H467" s="8" t="s">
        <v>5159</v>
      </c>
      <c r="I467" s="3">
        <v>30</v>
      </c>
      <c r="J467" s="3" t="s">
        <v>5354</v>
      </c>
      <c r="K467" s="17" t="str">
        <f>HYPERLINK("http://ictvonline.org/taxonomyHistory.asp?taxnode_id=20170565","ICTVonline=20170565")</f>
        <v>ICTVonline=20170565</v>
      </c>
      <c r="L467" s="3">
        <v>466</v>
      </c>
    </row>
    <row r="468" spans="1:12" x14ac:dyDescent="0.15">
      <c r="A468" s="1" t="s">
        <v>1341</v>
      </c>
      <c r="B468" s="1" t="s">
        <v>903</v>
      </c>
      <c r="C468" s="1" t="s">
        <v>1366</v>
      </c>
      <c r="D468" s="1" t="s">
        <v>3033</v>
      </c>
      <c r="E468" s="1" t="s">
        <v>3038</v>
      </c>
      <c r="F468" s="3">
        <v>0</v>
      </c>
      <c r="G468" s="8" t="s">
        <v>2771</v>
      </c>
      <c r="H468" s="8" t="s">
        <v>5159</v>
      </c>
      <c r="I468" s="3">
        <v>30</v>
      </c>
      <c r="J468" s="3" t="s">
        <v>5354</v>
      </c>
      <c r="K468" s="17" t="str">
        <f>HYPERLINK("http://ictvonline.org/taxonomyHistory.asp?taxnode_id=20170566","ICTVonline=20170566")</f>
        <v>ICTVonline=20170566</v>
      </c>
      <c r="L468" s="3">
        <v>467</v>
      </c>
    </row>
    <row r="469" spans="1:12" x14ac:dyDescent="0.15">
      <c r="A469" s="1" t="s">
        <v>1341</v>
      </c>
      <c r="B469" s="1" t="s">
        <v>903</v>
      </c>
      <c r="C469" s="1" t="s">
        <v>1366</v>
      </c>
      <c r="D469" s="1" t="s">
        <v>3039</v>
      </c>
      <c r="E469" s="1" t="s">
        <v>3040</v>
      </c>
      <c r="F469" s="3">
        <v>0</v>
      </c>
      <c r="G469" s="8" t="s">
        <v>2771</v>
      </c>
      <c r="H469" s="8" t="s">
        <v>5160</v>
      </c>
      <c r="I469" s="3">
        <v>30</v>
      </c>
      <c r="J469" s="3" t="s">
        <v>5297</v>
      </c>
      <c r="K469" s="17" t="str">
        <f>HYPERLINK("http://ictvonline.org/taxonomyHistory.asp?taxnode_id=20170568","ICTVonline=20170568")</f>
        <v>ICTVonline=20170568</v>
      </c>
      <c r="L469" s="3">
        <v>468</v>
      </c>
    </row>
    <row r="470" spans="1:12" x14ac:dyDescent="0.15">
      <c r="A470" s="1" t="s">
        <v>1341</v>
      </c>
      <c r="B470" s="1" t="s">
        <v>903</v>
      </c>
      <c r="C470" s="1" t="s">
        <v>1366</v>
      </c>
      <c r="D470" s="1" t="s">
        <v>3039</v>
      </c>
      <c r="E470" s="1" t="s">
        <v>3041</v>
      </c>
      <c r="F470" s="3">
        <v>0</v>
      </c>
      <c r="G470" s="8" t="s">
        <v>2771</v>
      </c>
      <c r="H470" s="8" t="s">
        <v>5160</v>
      </c>
      <c r="I470" s="3">
        <v>30</v>
      </c>
      <c r="J470" s="3" t="s">
        <v>5297</v>
      </c>
      <c r="K470" s="17" t="str">
        <f>HYPERLINK("http://ictvonline.org/taxonomyHistory.asp?taxnode_id=20170569","ICTVonline=20170569")</f>
        <v>ICTVonline=20170569</v>
      </c>
      <c r="L470" s="3">
        <v>469</v>
      </c>
    </row>
    <row r="471" spans="1:12" x14ac:dyDescent="0.15">
      <c r="A471" s="1" t="s">
        <v>1341</v>
      </c>
      <c r="B471" s="1" t="s">
        <v>903</v>
      </c>
      <c r="C471" s="1" t="s">
        <v>1366</v>
      </c>
      <c r="D471" s="1" t="s">
        <v>3039</v>
      </c>
      <c r="E471" s="1" t="s">
        <v>3042</v>
      </c>
      <c r="F471" s="3">
        <v>0</v>
      </c>
      <c r="G471" s="8" t="s">
        <v>2771</v>
      </c>
      <c r="H471" s="8" t="s">
        <v>5160</v>
      </c>
      <c r="I471" s="3">
        <v>30</v>
      </c>
      <c r="J471" s="3" t="s">
        <v>5297</v>
      </c>
      <c r="K471" s="17" t="str">
        <f>HYPERLINK("http://ictvonline.org/taxonomyHistory.asp?taxnode_id=20170570","ICTVonline=20170570")</f>
        <v>ICTVonline=20170570</v>
      </c>
      <c r="L471" s="3">
        <v>470</v>
      </c>
    </row>
    <row r="472" spans="1:12" x14ac:dyDescent="0.15">
      <c r="A472" s="1" t="s">
        <v>1341</v>
      </c>
      <c r="B472" s="1" t="s">
        <v>903</v>
      </c>
      <c r="C472" s="1" t="s">
        <v>1366</v>
      </c>
      <c r="D472" s="1" t="s">
        <v>3039</v>
      </c>
      <c r="E472" s="1" t="s">
        <v>3043</v>
      </c>
      <c r="F472" s="3">
        <v>1</v>
      </c>
      <c r="G472" s="8" t="s">
        <v>2771</v>
      </c>
      <c r="H472" s="8" t="s">
        <v>5160</v>
      </c>
      <c r="I472" s="3">
        <v>30</v>
      </c>
      <c r="J472" s="3" t="s">
        <v>5297</v>
      </c>
      <c r="K472" s="17" t="str">
        <f>HYPERLINK("http://ictvonline.org/taxonomyHistory.asp?taxnode_id=20170571","ICTVonline=20170571")</f>
        <v>ICTVonline=20170571</v>
      </c>
      <c r="L472" s="3">
        <v>471</v>
      </c>
    </row>
    <row r="473" spans="1:12" x14ac:dyDescent="0.15">
      <c r="A473" s="1" t="s">
        <v>1341</v>
      </c>
      <c r="B473" s="1" t="s">
        <v>903</v>
      </c>
      <c r="C473" s="1" t="s">
        <v>1366</v>
      </c>
      <c r="D473" s="1" t="s">
        <v>4471</v>
      </c>
      <c r="E473" s="1" t="s">
        <v>4472</v>
      </c>
      <c r="F473" s="3">
        <v>0</v>
      </c>
      <c r="G473" s="8" t="s">
        <v>2771</v>
      </c>
      <c r="H473" s="8" t="s">
        <v>5159</v>
      </c>
      <c r="I473" s="3">
        <v>31</v>
      </c>
      <c r="J473" s="3" t="s">
        <v>5355</v>
      </c>
      <c r="K473" s="17" t="str">
        <f>HYPERLINK("http://ictvonline.org/taxonomyHistory.asp?taxnode_id=20170573","ICTVonline=20170573")</f>
        <v>ICTVonline=20170573</v>
      </c>
      <c r="L473" s="3">
        <v>472</v>
      </c>
    </row>
    <row r="474" spans="1:12" x14ac:dyDescent="0.15">
      <c r="A474" s="1" t="s">
        <v>1341</v>
      </c>
      <c r="B474" s="1" t="s">
        <v>903</v>
      </c>
      <c r="C474" s="1" t="s">
        <v>1366</v>
      </c>
      <c r="D474" s="1" t="s">
        <v>4471</v>
      </c>
      <c r="E474" s="1" t="s">
        <v>4473</v>
      </c>
      <c r="F474" s="3">
        <v>0</v>
      </c>
      <c r="G474" s="8" t="s">
        <v>2771</v>
      </c>
      <c r="H474" s="8" t="s">
        <v>5159</v>
      </c>
      <c r="I474" s="3">
        <v>31</v>
      </c>
      <c r="J474" s="3" t="s">
        <v>5355</v>
      </c>
      <c r="K474" s="17" t="str">
        <f>HYPERLINK("http://ictvonline.org/taxonomyHistory.asp?taxnode_id=20170574","ICTVonline=20170574")</f>
        <v>ICTVonline=20170574</v>
      </c>
      <c r="L474" s="3">
        <v>473</v>
      </c>
    </row>
    <row r="475" spans="1:12" x14ac:dyDescent="0.15">
      <c r="A475" s="1" t="s">
        <v>1341</v>
      </c>
      <c r="B475" s="1" t="s">
        <v>903</v>
      </c>
      <c r="C475" s="1" t="s">
        <v>1366</v>
      </c>
      <c r="D475" s="1" t="s">
        <v>4471</v>
      </c>
      <c r="E475" s="1" t="s">
        <v>4474</v>
      </c>
      <c r="F475" s="3">
        <v>1</v>
      </c>
      <c r="G475" s="8" t="s">
        <v>2771</v>
      </c>
      <c r="H475" s="8" t="s">
        <v>5159</v>
      </c>
      <c r="I475" s="3">
        <v>31</v>
      </c>
      <c r="J475" s="3" t="s">
        <v>5355</v>
      </c>
      <c r="K475" s="17" t="str">
        <f>HYPERLINK("http://ictvonline.org/taxonomyHistory.asp?taxnode_id=20170575","ICTVonline=20170575")</f>
        <v>ICTVonline=20170575</v>
      </c>
      <c r="L475" s="3">
        <v>474</v>
      </c>
    </row>
    <row r="476" spans="1:12" x14ac:dyDescent="0.15">
      <c r="A476" s="1" t="s">
        <v>1341</v>
      </c>
      <c r="B476" s="1" t="s">
        <v>903</v>
      </c>
      <c r="C476" s="1" t="s">
        <v>1366</v>
      </c>
      <c r="D476" s="1" t="s">
        <v>3044</v>
      </c>
      <c r="E476" s="1" t="s">
        <v>3045</v>
      </c>
      <c r="F476" s="3">
        <v>0</v>
      </c>
      <c r="G476" s="8" t="s">
        <v>2771</v>
      </c>
      <c r="H476" s="8" t="s">
        <v>5160</v>
      </c>
      <c r="I476" s="3">
        <v>30</v>
      </c>
      <c r="J476" s="3" t="s">
        <v>5297</v>
      </c>
      <c r="K476" s="17" t="str">
        <f>HYPERLINK("http://ictvonline.org/taxonomyHistory.asp?taxnode_id=20170577","ICTVonline=20170577")</f>
        <v>ICTVonline=20170577</v>
      </c>
      <c r="L476" s="3">
        <v>475</v>
      </c>
    </row>
    <row r="477" spans="1:12" x14ac:dyDescent="0.15">
      <c r="A477" s="1" t="s">
        <v>1341</v>
      </c>
      <c r="B477" s="1" t="s">
        <v>903</v>
      </c>
      <c r="C477" s="1" t="s">
        <v>1366</v>
      </c>
      <c r="D477" s="1" t="s">
        <v>3044</v>
      </c>
      <c r="E477" s="1" t="s">
        <v>3046</v>
      </c>
      <c r="F477" s="3">
        <v>0</v>
      </c>
      <c r="G477" s="8" t="s">
        <v>2771</v>
      </c>
      <c r="H477" s="8" t="s">
        <v>5160</v>
      </c>
      <c r="I477" s="3">
        <v>30</v>
      </c>
      <c r="J477" s="3" t="s">
        <v>5297</v>
      </c>
      <c r="K477" s="17" t="str">
        <f>HYPERLINK("http://ictvonline.org/taxonomyHistory.asp?taxnode_id=20170578","ICTVonline=20170578")</f>
        <v>ICTVonline=20170578</v>
      </c>
      <c r="L477" s="3">
        <v>476</v>
      </c>
    </row>
    <row r="478" spans="1:12" x14ac:dyDescent="0.15">
      <c r="A478" s="1" t="s">
        <v>1341</v>
      </c>
      <c r="B478" s="1" t="s">
        <v>903</v>
      </c>
      <c r="C478" s="1" t="s">
        <v>1366</v>
      </c>
      <c r="D478" s="1" t="s">
        <v>3044</v>
      </c>
      <c r="E478" s="1" t="s">
        <v>3047</v>
      </c>
      <c r="F478" s="3">
        <v>0</v>
      </c>
      <c r="G478" s="8" t="s">
        <v>2771</v>
      </c>
      <c r="H478" s="8" t="s">
        <v>5160</v>
      </c>
      <c r="I478" s="3">
        <v>30</v>
      </c>
      <c r="J478" s="3" t="s">
        <v>5297</v>
      </c>
      <c r="K478" s="17" t="str">
        <f>HYPERLINK("http://ictvonline.org/taxonomyHistory.asp?taxnode_id=20170579","ICTVonline=20170579")</f>
        <v>ICTVonline=20170579</v>
      </c>
      <c r="L478" s="3">
        <v>477</v>
      </c>
    </row>
    <row r="479" spans="1:12" x14ac:dyDescent="0.15">
      <c r="A479" s="1" t="s">
        <v>1341</v>
      </c>
      <c r="B479" s="1" t="s">
        <v>903</v>
      </c>
      <c r="C479" s="1" t="s">
        <v>1366</v>
      </c>
      <c r="D479" s="1" t="s">
        <v>3044</v>
      </c>
      <c r="E479" s="1" t="s">
        <v>3048</v>
      </c>
      <c r="F479" s="3">
        <v>0</v>
      </c>
      <c r="G479" s="8" t="s">
        <v>2771</v>
      </c>
      <c r="H479" s="8" t="s">
        <v>5160</v>
      </c>
      <c r="I479" s="3">
        <v>30</v>
      </c>
      <c r="J479" s="3" t="s">
        <v>5297</v>
      </c>
      <c r="K479" s="17" t="str">
        <f>HYPERLINK("http://ictvonline.org/taxonomyHistory.asp?taxnode_id=20170580","ICTVonline=20170580")</f>
        <v>ICTVonline=20170580</v>
      </c>
      <c r="L479" s="3">
        <v>478</v>
      </c>
    </row>
    <row r="480" spans="1:12" x14ac:dyDescent="0.15">
      <c r="A480" s="1" t="s">
        <v>1341</v>
      </c>
      <c r="B480" s="1" t="s">
        <v>903</v>
      </c>
      <c r="C480" s="1" t="s">
        <v>1366</v>
      </c>
      <c r="D480" s="1" t="s">
        <v>3044</v>
      </c>
      <c r="E480" s="1" t="s">
        <v>3049</v>
      </c>
      <c r="F480" s="3">
        <v>1</v>
      </c>
      <c r="G480" s="8" t="s">
        <v>2771</v>
      </c>
      <c r="H480" s="8" t="s">
        <v>5160</v>
      </c>
      <c r="I480" s="3">
        <v>30</v>
      </c>
      <c r="J480" s="3" t="s">
        <v>5297</v>
      </c>
      <c r="K480" s="17" t="str">
        <f>HYPERLINK("http://ictvonline.org/taxonomyHistory.asp?taxnode_id=20170581","ICTVonline=20170581")</f>
        <v>ICTVonline=20170581</v>
      </c>
      <c r="L480" s="3">
        <v>479</v>
      </c>
    </row>
    <row r="481" spans="1:12" x14ac:dyDescent="0.15">
      <c r="A481" s="1" t="s">
        <v>1341</v>
      </c>
      <c r="B481" s="1" t="s">
        <v>903</v>
      </c>
      <c r="C481" s="1" t="s">
        <v>1366</v>
      </c>
      <c r="D481" s="1" t="s">
        <v>3050</v>
      </c>
      <c r="E481" s="1" t="s">
        <v>3051</v>
      </c>
      <c r="F481" s="3">
        <v>1</v>
      </c>
      <c r="G481" s="8" t="s">
        <v>2771</v>
      </c>
      <c r="H481" s="8" t="s">
        <v>5160</v>
      </c>
      <c r="I481" s="3">
        <v>30</v>
      </c>
      <c r="J481" s="3" t="s">
        <v>5297</v>
      </c>
      <c r="K481" s="17" t="str">
        <f>HYPERLINK("http://ictvonline.org/taxonomyHistory.asp?taxnode_id=20170583","ICTVonline=20170583")</f>
        <v>ICTVonline=20170583</v>
      </c>
      <c r="L481" s="3">
        <v>480</v>
      </c>
    </row>
    <row r="482" spans="1:12" x14ac:dyDescent="0.15">
      <c r="A482" s="1" t="s">
        <v>1341</v>
      </c>
      <c r="B482" s="1" t="s">
        <v>903</v>
      </c>
      <c r="C482" s="1" t="s">
        <v>1366</v>
      </c>
      <c r="D482" s="1" t="s">
        <v>3050</v>
      </c>
      <c r="E482" s="1" t="s">
        <v>3052</v>
      </c>
      <c r="F482" s="3">
        <v>0</v>
      </c>
      <c r="G482" s="8" t="s">
        <v>2771</v>
      </c>
      <c r="H482" s="8" t="s">
        <v>5160</v>
      </c>
      <c r="I482" s="3">
        <v>30</v>
      </c>
      <c r="J482" s="3" t="s">
        <v>5297</v>
      </c>
      <c r="K482" s="17" t="str">
        <f>HYPERLINK("http://ictvonline.org/taxonomyHistory.asp?taxnode_id=20170584","ICTVonline=20170584")</f>
        <v>ICTVonline=20170584</v>
      </c>
      <c r="L482" s="3">
        <v>481</v>
      </c>
    </row>
    <row r="483" spans="1:12" x14ac:dyDescent="0.15">
      <c r="A483" s="1" t="s">
        <v>1341</v>
      </c>
      <c r="B483" s="1" t="s">
        <v>903</v>
      </c>
      <c r="C483" s="1" t="s">
        <v>1366</v>
      </c>
      <c r="D483" s="1" t="s">
        <v>3050</v>
      </c>
      <c r="E483" s="1" t="s">
        <v>3053</v>
      </c>
      <c r="F483" s="3">
        <v>0</v>
      </c>
      <c r="G483" s="8" t="s">
        <v>2771</v>
      </c>
      <c r="H483" s="8" t="s">
        <v>5160</v>
      </c>
      <c r="I483" s="3">
        <v>30</v>
      </c>
      <c r="J483" s="3" t="s">
        <v>5297</v>
      </c>
      <c r="K483" s="17" t="str">
        <f>HYPERLINK("http://ictvonline.org/taxonomyHistory.asp?taxnode_id=20170585","ICTVonline=20170585")</f>
        <v>ICTVonline=20170585</v>
      </c>
      <c r="L483" s="3">
        <v>482</v>
      </c>
    </row>
    <row r="484" spans="1:12" x14ac:dyDescent="0.15">
      <c r="A484" s="1" t="s">
        <v>1341</v>
      </c>
      <c r="B484" s="1" t="s">
        <v>903</v>
      </c>
      <c r="C484" s="1" t="s">
        <v>1366</v>
      </c>
      <c r="D484" s="1" t="s">
        <v>908</v>
      </c>
      <c r="E484" s="1" t="s">
        <v>3054</v>
      </c>
      <c r="F484" s="3">
        <v>0</v>
      </c>
      <c r="G484" s="8" t="s">
        <v>2771</v>
      </c>
      <c r="H484" s="8" t="s">
        <v>5162</v>
      </c>
      <c r="I484" s="3">
        <v>30</v>
      </c>
      <c r="J484" s="3" t="s">
        <v>5297</v>
      </c>
      <c r="K484" s="17" t="str">
        <f>HYPERLINK("http://ictvonline.org/taxonomyHistory.asp?taxnode_id=20170587","ICTVonline=20170587")</f>
        <v>ICTVonline=20170587</v>
      </c>
      <c r="L484" s="3">
        <v>483</v>
      </c>
    </row>
    <row r="485" spans="1:12" x14ac:dyDescent="0.15">
      <c r="A485" s="1" t="s">
        <v>1341</v>
      </c>
      <c r="B485" s="1" t="s">
        <v>903</v>
      </c>
      <c r="C485" s="1" t="s">
        <v>1366</v>
      </c>
      <c r="D485" s="1" t="s">
        <v>908</v>
      </c>
      <c r="E485" s="1" t="s">
        <v>3055</v>
      </c>
      <c r="F485" s="3">
        <v>0</v>
      </c>
      <c r="G485" s="8" t="s">
        <v>2771</v>
      </c>
      <c r="H485" s="8" t="s">
        <v>5162</v>
      </c>
      <c r="I485" s="3">
        <v>30</v>
      </c>
      <c r="J485" s="3" t="s">
        <v>5297</v>
      </c>
      <c r="K485" s="17" t="str">
        <f>HYPERLINK("http://ictvonline.org/taxonomyHistory.asp?taxnode_id=20170588","ICTVonline=20170588")</f>
        <v>ICTVonline=20170588</v>
      </c>
      <c r="L485" s="3">
        <v>484</v>
      </c>
    </row>
    <row r="486" spans="1:12" x14ac:dyDescent="0.15">
      <c r="A486" s="1" t="s">
        <v>1341</v>
      </c>
      <c r="B486" s="1" t="s">
        <v>903</v>
      </c>
      <c r="C486" s="1" t="s">
        <v>1366</v>
      </c>
      <c r="D486" s="1" t="s">
        <v>908</v>
      </c>
      <c r="E486" s="1" t="s">
        <v>3056</v>
      </c>
      <c r="F486" s="3">
        <v>0</v>
      </c>
      <c r="G486" s="8" t="s">
        <v>2771</v>
      </c>
      <c r="H486" s="8" t="s">
        <v>5162</v>
      </c>
      <c r="I486" s="3">
        <v>30</v>
      </c>
      <c r="J486" s="3" t="s">
        <v>5297</v>
      </c>
      <c r="K486" s="17" t="str">
        <f>HYPERLINK("http://ictvonline.org/taxonomyHistory.asp?taxnode_id=20170589","ICTVonline=20170589")</f>
        <v>ICTVonline=20170589</v>
      </c>
      <c r="L486" s="3">
        <v>485</v>
      </c>
    </row>
    <row r="487" spans="1:12" x14ac:dyDescent="0.15">
      <c r="A487" s="1" t="s">
        <v>1341</v>
      </c>
      <c r="B487" s="1" t="s">
        <v>903</v>
      </c>
      <c r="C487" s="1" t="s">
        <v>663</v>
      </c>
      <c r="D487" s="1" t="s">
        <v>4281</v>
      </c>
      <c r="E487" s="1" t="s">
        <v>3067</v>
      </c>
      <c r="F487" s="3">
        <v>1</v>
      </c>
      <c r="G487" s="8" t="s">
        <v>2771</v>
      </c>
      <c r="H487" s="8" t="s">
        <v>5161</v>
      </c>
      <c r="I487" s="3">
        <v>31</v>
      </c>
      <c r="J487" s="3" t="s">
        <v>5356</v>
      </c>
      <c r="K487" s="17" t="str">
        <f>HYPERLINK("http://ictvonline.org/taxonomyHistory.asp?taxnode_id=20170592","ICTVonline=20170592")</f>
        <v>ICTVonline=20170592</v>
      </c>
      <c r="L487" s="3">
        <v>486</v>
      </c>
    </row>
    <row r="488" spans="1:12" x14ac:dyDescent="0.15">
      <c r="A488" s="1" t="s">
        <v>1341</v>
      </c>
      <c r="B488" s="1" t="s">
        <v>903</v>
      </c>
      <c r="C488" s="1" t="s">
        <v>663</v>
      </c>
      <c r="D488" s="1" t="s">
        <v>4281</v>
      </c>
      <c r="E488" s="1" t="s">
        <v>4475</v>
      </c>
      <c r="F488" s="3">
        <v>0</v>
      </c>
      <c r="G488" s="8" t="s">
        <v>2771</v>
      </c>
      <c r="H488" s="8" t="s">
        <v>5159</v>
      </c>
      <c r="I488" s="3">
        <v>31</v>
      </c>
      <c r="J488" s="3" t="s">
        <v>5356</v>
      </c>
      <c r="K488" s="17" t="str">
        <f>HYPERLINK("http://ictvonline.org/taxonomyHistory.asp?taxnode_id=20170593","ICTVonline=20170593")</f>
        <v>ICTVonline=20170593</v>
      </c>
      <c r="L488" s="3">
        <v>487</v>
      </c>
    </row>
    <row r="489" spans="1:12" x14ac:dyDescent="0.15">
      <c r="A489" s="1" t="s">
        <v>1341</v>
      </c>
      <c r="B489" s="1" t="s">
        <v>903</v>
      </c>
      <c r="C489" s="1" t="s">
        <v>663</v>
      </c>
      <c r="D489" s="1" t="s">
        <v>3057</v>
      </c>
      <c r="E489" s="1" t="s">
        <v>3058</v>
      </c>
      <c r="F489" s="3">
        <v>1</v>
      </c>
      <c r="G489" s="8" t="s">
        <v>2771</v>
      </c>
      <c r="H489" s="8" t="s">
        <v>5160</v>
      </c>
      <c r="I489" s="3">
        <v>30</v>
      </c>
      <c r="J489" s="3" t="s">
        <v>5297</v>
      </c>
      <c r="K489" s="17" t="str">
        <f>HYPERLINK("http://ictvonline.org/taxonomyHistory.asp?taxnode_id=20170595","ICTVonline=20170595")</f>
        <v>ICTVonline=20170595</v>
      </c>
      <c r="L489" s="3">
        <v>488</v>
      </c>
    </row>
    <row r="490" spans="1:12" x14ac:dyDescent="0.15">
      <c r="A490" s="1" t="s">
        <v>1341</v>
      </c>
      <c r="B490" s="1" t="s">
        <v>903</v>
      </c>
      <c r="C490" s="1" t="s">
        <v>663</v>
      </c>
      <c r="D490" s="1" t="s">
        <v>3057</v>
      </c>
      <c r="E490" s="1" t="s">
        <v>3059</v>
      </c>
      <c r="F490" s="3">
        <v>0</v>
      </c>
      <c r="G490" s="8" t="s">
        <v>2771</v>
      </c>
      <c r="H490" s="8" t="s">
        <v>5160</v>
      </c>
      <c r="I490" s="3">
        <v>30</v>
      </c>
      <c r="J490" s="3" t="s">
        <v>5297</v>
      </c>
      <c r="K490" s="17" t="str">
        <f>HYPERLINK("http://ictvonline.org/taxonomyHistory.asp?taxnode_id=20170596","ICTVonline=20170596")</f>
        <v>ICTVonline=20170596</v>
      </c>
      <c r="L490" s="3">
        <v>489</v>
      </c>
    </row>
    <row r="491" spans="1:12" x14ac:dyDescent="0.15">
      <c r="A491" s="1" t="s">
        <v>1341</v>
      </c>
      <c r="B491" s="1" t="s">
        <v>903</v>
      </c>
      <c r="C491" s="1" t="s">
        <v>663</v>
      </c>
      <c r="D491" s="1" t="s">
        <v>3060</v>
      </c>
      <c r="E491" s="1" t="s">
        <v>3061</v>
      </c>
      <c r="F491" s="3">
        <v>0</v>
      </c>
      <c r="G491" s="8" t="s">
        <v>2771</v>
      </c>
      <c r="H491" s="8" t="s">
        <v>5160</v>
      </c>
      <c r="I491" s="3">
        <v>30</v>
      </c>
      <c r="J491" s="3" t="s">
        <v>5297</v>
      </c>
      <c r="K491" s="17" t="str">
        <f>HYPERLINK("http://ictvonline.org/taxonomyHistory.asp?taxnode_id=20170598","ICTVonline=20170598")</f>
        <v>ICTVonline=20170598</v>
      </c>
      <c r="L491" s="3">
        <v>490</v>
      </c>
    </row>
    <row r="492" spans="1:12" x14ac:dyDescent="0.15">
      <c r="A492" s="1" t="s">
        <v>1341</v>
      </c>
      <c r="B492" s="1" t="s">
        <v>903</v>
      </c>
      <c r="C492" s="1" t="s">
        <v>663</v>
      </c>
      <c r="D492" s="1" t="s">
        <v>3060</v>
      </c>
      <c r="E492" s="1" t="s">
        <v>3062</v>
      </c>
      <c r="F492" s="3">
        <v>0</v>
      </c>
      <c r="G492" s="8" t="s">
        <v>2771</v>
      </c>
      <c r="H492" s="8" t="s">
        <v>5160</v>
      </c>
      <c r="I492" s="3">
        <v>30</v>
      </c>
      <c r="J492" s="3" t="s">
        <v>5297</v>
      </c>
      <c r="K492" s="17" t="str">
        <f>HYPERLINK("http://ictvonline.org/taxonomyHistory.asp?taxnode_id=20170599","ICTVonline=20170599")</f>
        <v>ICTVonline=20170599</v>
      </c>
      <c r="L492" s="3">
        <v>491</v>
      </c>
    </row>
    <row r="493" spans="1:12" x14ac:dyDescent="0.15">
      <c r="A493" s="1" t="s">
        <v>1341</v>
      </c>
      <c r="B493" s="1" t="s">
        <v>903</v>
      </c>
      <c r="C493" s="1" t="s">
        <v>663</v>
      </c>
      <c r="D493" s="1" t="s">
        <v>3060</v>
      </c>
      <c r="E493" s="1" t="s">
        <v>3063</v>
      </c>
      <c r="F493" s="3">
        <v>1</v>
      </c>
      <c r="G493" s="8" t="s">
        <v>2771</v>
      </c>
      <c r="H493" s="8" t="s">
        <v>5160</v>
      </c>
      <c r="I493" s="3">
        <v>30</v>
      </c>
      <c r="J493" s="3" t="s">
        <v>5297</v>
      </c>
      <c r="K493" s="17" t="str">
        <f>HYPERLINK("http://ictvonline.org/taxonomyHistory.asp?taxnode_id=20170600","ICTVonline=20170600")</f>
        <v>ICTVonline=20170600</v>
      </c>
      <c r="L493" s="3">
        <v>492</v>
      </c>
    </row>
    <row r="494" spans="1:12" x14ac:dyDescent="0.15">
      <c r="A494" s="1" t="s">
        <v>1341</v>
      </c>
      <c r="B494" s="1" t="s">
        <v>903</v>
      </c>
      <c r="C494" s="1" t="s">
        <v>663</v>
      </c>
      <c r="D494" s="1" t="s">
        <v>3060</v>
      </c>
      <c r="E494" s="1" t="s">
        <v>3064</v>
      </c>
      <c r="F494" s="3">
        <v>0</v>
      </c>
      <c r="G494" s="8" t="s">
        <v>2771</v>
      </c>
      <c r="H494" s="8" t="s">
        <v>5160</v>
      </c>
      <c r="I494" s="3">
        <v>30</v>
      </c>
      <c r="J494" s="3" t="s">
        <v>5297</v>
      </c>
      <c r="K494" s="17" t="str">
        <f>HYPERLINK("http://ictvonline.org/taxonomyHistory.asp?taxnode_id=20170601","ICTVonline=20170601")</f>
        <v>ICTVonline=20170601</v>
      </c>
      <c r="L494" s="3">
        <v>493</v>
      </c>
    </row>
    <row r="495" spans="1:12" x14ac:dyDescent="0.15">
      <c r="A495" s="1" t="s">
        <v>1341</v>
      </c>
      <c r="B495" s="1" t="s">
        <v>903</v>
      </c>
      <c r="C495" s="1" t="s">
        <v>663</v>
      </c>
      <c r="D495" s="1" t="s">
        <v>908</v>
      </c>
      <c r="E495" s="1" t="s">
        <v>3065</v>
      </c>
      <c r="F495" s="3">
        <v>0</v>
      </c>
      <c r="G495" s="8" t="s">
        <v>2771</v>
      </c>
      <c r="H495" s="8" t="s">
        <v>5162</v>
      </c>
      <c r="I495" s="3">
        <v>30</v>
      </c>
      <c r="J495" s="3" t="s">
        <v>5297</v>
      </c>
      <c r="K495" s="17" t="str">
        <f>HYPERLINK("http://ictvonline.org/taxonomyHistory.asp?taxnode_id=20170603","ICTVonline=20170603")</f>
        <v>ICTVonline=20170603</v>
      </c>
      <c r="L495" s="3">
        <v>494</v>
      </c>
    </row>
    <row r="496" spans="1:12" x14ac:dyDescent="0.15">
      <c r="A496" s="1" t="s">
        <v>1341</v>
      </c>
      <c r="B496" s="1" t="s">
        <v>903</v>
      </c>
      <c r="C496" s="1" t="s">
        <v>663</v>
      </c>
      <c r="D496" s="1" t="s">
        <v>908</v>
      </c>
      <c r="E496" s="1" t="s">
        <v>3066</v>
      </c>
      <c r="F496" s="3">
        <v>0</v>
      </c>
      <c r="G496" s="8" t="s">
        <v>2771</v>
      </c>
      <c r="H496" s="8" t="s">
        <v>5162</v>
      </c>
      <c r="I496" s="3">
        <v>30</v>
      </c>
      <c r="J496" s="3" t="s">
        <v>5297</v>
      </c>
      <c r="K496" s="17" t="str">
        <f>HYPERLINK("http://ictvonline.org/taxonomyHistory.asp?taxnode_id=20170604","ICTVonline=20170604")</f>
        <v>ICTVonline=20170604</v>
      </c>
      <c r="L496" s="3">
        <v>495</v>
      </c>
    </row>
    <row r="497" spans="1:12" x14ac:dyDescent="0.15">
      <c r="A497" s="1" t="s">
        <v>1341</v>
      </c>
      <c r="B497" s="1" t="s">
        <v>903</v>
      </c>
      <c r="C497" s="1" t="s">
        <v>4476</v>
      </c>
      <c r="D497" s="1" t="s">
        <v>4477</v>
      </c>
      <c r="E497" s="1" t="s">
        <v>4478</v>
      </c>
      <c r="F497" s="3">
        <v>0</v>
      </c>
      <c r="G497" s="8" t="s">
        <v>2771</v>
      </c>
      <c r="H497" s="8" t="s">
        <v>5159</v>
      </c>
      <c r="I497" s="3">
        <v>31</v>
      </c>
      <c r="J497" s="3" t="s">
        <v>5357</v>
      </c>
      <c r="K497" s="17" t="str">
        <f>HYPERLINK("http://ictvonline.org/taxonomyHistory.asp?taxnode_id=20170607","ICTVonline=20170607")</f>
        <v>ICTVonline=20170607</v>
      </c>
      <c r="L497" s="3">
        <v>496</v>
      </c>
    </row>
    <row r="498" spans="1:12" x14ac:dyDescent="0.15">
      <c r="A498" s="1" t="s">
        <v>1341</v>
      </c>
      <c r="B498" s="1" t="s">
        <v>903</v>
      </c>
      <c r="C498" s="1" t="s">
        <v>4476</v>
      </c>
      <c r="D498" s="1" t="s">
        <v>4477</v>
      </c>
      <c r="E498" s="1" t="s">
        <v>4479</v>
      </c>
      <c r="F498" s="3">
        <v>1</v>
      </c>
      <c r="G498" s="8" t="s">
        <v>2771</v>
      </c>
      <c r="H498" s="8" t="s">
        <v>5159</v>
      </c>
      <c r="I498" s="3">
        <v>31</v>
      </c>
      <c r="J498" s="3" t="s">
        <v>5357</v>
      </c>
      <c r="K498" s="17" t="str">
        <f>HYPERLINK("http://ictvonline.org/taxonomyHistory.asp?taxnode_id=20170608","ICTVonline=20170608")</f>
        <v>ICTVonline=20170608</v>
      </c>
      <c r="L498" s="3">
        <v>497</v>
      </c>
    </row>
    <row r="499" spans="1:12" x14ac:dyDescent="0.15">
      <c r="A499" s="1" t="s">
        <v>1341</v>
      </c>
      <c r="B499" s="1" t="s">
        <v>903</v>
      </c>
      <c r="C499" s="1" t="s">
        <v>4476</v>
      </c>
      <c r="D499" s="1" t="s">
        <v>4477</v>
      </c>
      <c r="E499" s="1" t="s">
        <v>4480</v>
      </c>
      <c r="F499" s="3">
        <v>0</v>
      </c>
      <c r="G499" s="8" t="s">
        <v>2771</v>
      </c>
      <c r="H499" s="8" t="s">
        <v>5159</v>
      </c>
      <c r="I499" s="3">
        <v>31</v>
      </c>
      <c r="J499" s="3" t="s">
        <v>5357</v>
      </c>
      <c r="K499" s="17" t="str">
        <f>HYPERLINK("http://ictvonline.org/taxonomyHistory.asp?taxnode_id=20170609","ICTVonline=20170609")</f>
        <v>ICTVonline=20170609</v>
      </c>
      <c r="L499" s="3">
        <v>498</v>
      </c>
    </row>
    <row r="500" spans="1:12" x14ac:dyDescent="0.15">
      <c r="A500" s="1" t="s">
        <v>1341</v>
      </c>
      <c r="B500" s="1" t="s">
        <v>903</v>
      </c>
      <c r="C500" s="1" t="s">
        <v>4476</v>
      </c>
      <c r="D500" s="1" t="s">
        <v>4477</v>
      </c>
      <c r="E500" s="1" t="s">
        <v>4481</v>
      </c>
      <c r="F500" s="3">
        <v>0</v>
      </c>
      <c r="G500" s="8" t="s">
        <v>2771</v>
      </c>
      <c r="H500" s="8" t="s">
        <v>5159</v>
      </c>
      <c r="I500" s="3">
        <v>31</v>
      </c>
      <c r="J500" s="3" t="s">
        <v>5357</v>
      </c>
      <c r="K500" s="17" t="str">
        <f>HYPERLINK("http://ictvonline.org/taxonomyHistory.asp?taxnode_id=20170610","ICTVonline=20170610")</f>
        <v>ICTVonline=20170610</v>
      </c>
      <c r="L500" s="3">
        <v>499</v>
      </c>
    </row>
    <row r="501" spans="1:12" x14ac:dyDescent="0.15">
      <c r="A501" s="1" t="s">
        <v>1341</v>
      </c>
      <c r="B501" s="1" t="s">
        <v>903</v>
      </c>
      <c r="C501" s="1" t="s">
        <v>4476</v>
      </c>
      <c r="D501" s="1" t="s">
        <v>4477</v>
      </c>
      <c r="E501" s="1" t="s">
        <v>4482</v>
      </c>
      <c r="F501" s="3">
        <v>0</v>
      </c>
      <c r="G501" s="8" t="s">
        <v>2771</v>
      </c>
      <c r="H501" s="8" t="s">
        <v>5159</v>
      </c>
      <c r="I501" s="3">
        <v>31</v>
      </c>
      <c r="J501" s="3" t="s">
        <v>5357</v>
      </c>
      <c r="K501" s="17" t="str">
        <f>HYPERLINK("http://ictvonline.org/taxonomyHistory.asp?taxnode_id=20170611","ICTVonline=20170611")</f>
        <v>ICTVonline=20170611</v>
      </c>
      <c r="L501" s="3">
        <v>500</v>
      </c>
    </row>
    <row r="502" spans="1:12" x14ac:dyDescent="0.15">
      <c r="A502" s="1" t="s">
        <v>1341</v>
      </c>
      <c r="B502" s="1" t="s">
        <v>903</v>
      </c>
      <c r="C502" s="1" t="s">
        <v>4476</v>
      </c>
      <c r="D502" s="1" t="s">
        <v>4483</v>
      </c>
      <c r="E502" s="1" t="s">
        <v>4484</v>
      </c>
      <c r="F502" s="3">
        <v>0</v>
      </c>
      <c r="G502" s="8" t="s">
        <v>2771</v>
      </c>
      <c r="H502" s="8" t="s">
        <v>5159</v>
      </c>
      <c r="I502" s="3">
        <v>31</v>
      </c>
      <c r="J502" s="3" t="s">
        <v>5357</v>
      </c>
      <c r="K502" s="17" t="str">
        <f>HYPERLINK("http://ictvonline.org/taxonomyHistory.asp?taxnode_id=20170613","ICTVonline=20170613")</f>
        <v>ICTVonline=20170613</v>
      </c>
      <c r="L502" s="3">
        <v>501</v>
      </c>
    </row>
    <row r="503" spans="1:12" x14ac:dyDescent="0.15">
      <c r="A503" s="1" t="s">
        <v>1341</v>
      </c>
      <c r="B503" s="1" t="s">
        <v>903</v>
      </c>
      <c r="C503" s="1" t="s">
        <v>4476</v>
      </c>
      <c r="D503" s="1" t="s">
        <v>4483</v>
      </c>
      <c r="E503" s="1" t="s">
        <v>4485</v>
      </c>
      <c r="F503" s="3">
        <v>1</v>
      </c>
      <c r="G503" s="8" t="s">
        <v>2771</v>
      </c>
      <c r="H503" s="8" t="s">
        <v>5159</v>
      </c>
      <c r="I503" s="3">
        <v>31</v>
      </c>
      <c r="J503" s="3" t="s">
        <v>5357</v>
      </c>
      <c r="K503" s="17" t="str">
        <f>HYPERLINK("http://ictvonline.org/taxonomyHistory.asp?taxnode_id=20170614","ICTVonline=20170614")</f>
        <v>ICTVonline=20170614</v>
      </c>
      <c r="L503" s="3">
        <v>502</v>
      </c>
    </row>
    <row r="504" spans="1:12" x14ac:dyDescent="0.15">
      <c r="A504" s="1" t="s">
        <v>1341</v>
      </c>
      <c r="B504" s="1" t="s">
        <v>903</v>
      </c>
      <c r="C504" s="1" t="s">
        <v>4476</v>
      </c>
      <c r="D504" s="1" t="s">
        <v>4486</v>
      </c>
      <c r="E504" s="1" t="s">
        <v>4487</v>
      </c>
      <c r="F504" s="3">
        <v>0</v>
      </c>
      <c r="G504" s="8" t="s">
        <v>2771</v>
      </c>
      <c r="H504" s="8" t="s">
        <v>5159</v>
      </c>
      <c r="I504" s="3">
        <v>31</v>
      </c>
      <c r="J504" s="3" t="s">
        <v>5357</v>
      </c>
      <c r="K504" s="17" t="str">
        <f>HYPERLINK("http://ictvonline.org/taxonomyHistory.asp?taxnode_id=20170616","ICTVonline=20170616")</f>
        <v>ICTVonline=20170616</v>
      </c>
      <c r="L504" s="3">
        <v>503</v>
      </c>
    </row>
    <row r="505" spans="1:12" x14ac:dyDescent="0.15">
      <c r="A505" s="1" t="s">
        <v>1341</v>
      </c>
      <c r="B505" s="1" t="s">
        <v>903</v>
      </c>
      <c r="C505" s="1" t="s">
        <v>4476</v>
      </c>
      <c r="D505" s="1" t="s">
        <v>4486</v>
      </c>
      <c r="E505" s="1" t="s">
        <v>4488</v>
      </c>
      <c r="F505" s="3">
        <v>0</v>
      </c>
      <c r="G505" s="8" t="s">
        <v>2771</v>
      </c>
      <c r="H505" s="8" t="s">
        <v>5159</v>
      </c>
      <c r="I505" s="3">
        <v>31</v>
      </c>
      <c r="J505" s="3" t="s">
        <v>5357</v>
      </c>
      <c r="K505" s="17" t="str">
        <f>HYPERLINK("http://ictvonline.org/taxonomyHistory.asp?taxnode_id=20170617","ICTVonline=20170617")</f>
        <v>ICTVonline=20170617</v>
      </c>
      <c r="L505" s="3">
        <v>504</v>
      </c>
    </row>
    <row r="506" spans="1:12" x14ac:dyDescent="0.15">
      <c r="A506" s="1" t="s">
        <v>1341</v>
      </c>
      <c r="B506" s="1" t="s">
        <v>903</v>
      </c>
      <c r="C506" s="1" t="s">
        <v>4476</v>
      </c>
      <c r="D506" s="1" t="s">
        <v>4486</v>
      </c>
      <c r="E506" s="1" t="s">
        <v>4489</v>
      </c>
      <c r="F506" s="3">
        <v>1</v>
      </c>
      <c r="G506" s="8" t="s">
        <v>2771</v>
      </c>
      <c r="H506" s="8" t="s">
        <v>5159</v>
      </c>
      <c r="I506" s="3">
        <v>31</v>
      </c>
      <c r="J506" s="3" t="s">
        <v>5357</v>
      </c>
      <c r="K506" s="17" t="str">
        <f>HYPERLINK("http://ictvonline.org/taxonomyHistory.asp?taxnode_id=20170618","ICTVonline=20170618")</f>
        <v>ICTVonline=20170618</v>
      </c>
      <c r="L506" s="3">
        <v>505</v>
      </c>
    </row>
    <row r="507" spans="1:12" x14ac:dyDescent="0.15">
      <c r="A507" s="1" t="s">
        <v>1341</v>
      </c>
      <c r="B507" s="1" t="s">
        <v>903</v>
      </c>
      <c r="C507" s="1" t="s">
        <v>4476</v>
      </c>
      <c r="D507" s="1" t="s">
        <v>4486</v>
      </c>
      <c r="E507" s="1" t="s">
        <v>4490</v>
      </c>
      <c r="F507" s="3">
        <v>0</v>
      </c>
      <c r="G507" s="8" t="s">
        <v>2771</v>
      </c>
      <c r="H507" s="8" t="s">
        <v>5159</v>
      </c>
      <c r="I507" s="3">
        <v>31</v>
      </c>
      <c r="J507" s="3" t="s">
        <v>5357</v>
      </c>
      <c r="K507" s="17" t="str">
        <f>HYPERLINK("http://ictvonline.org/taxonomyHistory.asp?taxnode_id=20170619","ICTVonline=20170619")</f>
        <v>ICTVonline=20170619</v>
      </c>
      <c r="L507" s="3">
        <v>506</v>
      </c>
    </row>
    <row r="508" spans="1:12" x14ac:dyDescent="0.15">
      <c r="A508" s="1" t="s">
        <v>1341</v>
      </c>
      <c r="B508" s="1" t="s">
        <v>903</v>
      </c>
      <c r="D508" s="1" t="s">
        <v>4255</v>
      </c>
      <c r="E508" s="1" t="s">
        <v>3068</v>
      </c>
      <c r="F508" s="3">
        <v>1</v>
      </c>
      <c r="G508" s="8" t="s">
        <v>2771</v>
      </c>
      <c r="H508" s="8" t="s">
        <v>5161</v>
      </c>
      <c r="I508" s="3">
        <v>31</v>
      </c>
      <c r="J508" s="3" t="s">
        <v>5300</v>
      </c>
      <c r="K508" s="17" t="str">
        <f>HYPERLINK("http://ictvonline.org/taxonomyHistory.asp?taxnode_id=20170622","ICTVonline=20170622")</f>
        <v>ICTVonline=20170622</v>
      </c>
      <c r="L508" s="3">
        <v>507</v>
      </c>
    </row>
    <row r="509" spans="1:12" x14ac:dyDescent="0.15">
      <c r="A509" s="1" t="s">
        <v>1341</v>
      </c>
      <c r="B509" s="1" t="s">
        <v>903</v>
      </c>
      <c r="D509" s="1" t="s">
        <v>4255</v>
      </c>
      <c r="E509" s="1" t="s">
        <v>3069</v>
      </c>
      <c r="F509" s="3">
        <v>0</v>
      </c>
      <c r="G509" s="8" t="s">
        <v>2771</v>
      </c>
      <c r="H509" s="8" t="s">
        <v>5161</v>
      </c>
      <c r="I509" s="3">
        <v>31</v>
      </c>
      <c r="J509" s="3" t="s">
        <v>5300</v>
      </c>
      <c r="K509" s="17" t="str">
        <f>HYPERLINK("http://ictvonline.org/taxonomyHistory.asp?taxnode_id=20170623","ICTVonline=20170623")</f>
        <v>ICTVonline=20170623</v>
      </c>
      <c r="L509" s="3">
        <v>508</v>
      </c>
    </row>
    <row r="510" spans="1:12" x14ac:dyDescent="0.15">
      <c r="A510" s="1" t="s">
        <v>1341</v>
      </c>
      <c r="B510" s="1" t="s">
        <v>903</v>
      </c>
      <c r="D510" s="1" t="s">
        <v>4255</v>
      </c>
      <c r="E510" s="1" t="s">
        <v>3070</v>
      </c>
      <c r="F510" s="3">
        <v>0</v>
      </c>
      <c r="G510" s="8" t="s">
        <v>2771</v>
      </c>
      <c r="H510" s="8" t="s">
        <v>5161</v>
      </c>
      <c r="I510" s="3">
        <v>31</v>
      </c>
      <c r="J510" s="3" t="s">
        <v>5300</v>
      </c>
      <c r="K510" s="17" t="str">
        <f>HYPERLINK("http://ictvonline.org/taxonomyHistory.asp?taxnode_id=20170624","ICTVonline=20170624")</f>
        <v>ICTVonline=20170624</v>
      </c>
      <c r="L510" s="3">
        <v>509</v>
      </c>
    </row>
    <row r="511" spans="1:12" x14ac:dyDescent="0.15">
      <c r="A511" s="1" t="s">
        <v>1341</v>
      </c>
      <c r="B511" s="1" t="s">
        <v>903</v>
      </c>
      <c r="D511" s="1" t="s">
        <v>4255</v>
      </c>
      <c r="E511" s="1" t="s">
        <v>3071</v>
      </c>
      <c r="F511" s="3">
        <v>0</v>
      </c>
      <c r="G511" s="8" t="s">
        <v>2771</v>
      </c>
      <c r="H511" s="8" t="s">
        <v>5161</v>
      </c>
      <c r="I511" s="3">
        <v>31</v>
      </c>
      <c r="J511" s="3" t="s">
        <v>5300</v>
      </c>
      <c r="K511" s="17" t="str">
        <f>HYPERLINK("http://ictvonline.org/taxonomyHistory.asp?taxnode_id=20170625","ICTVonline=20170625")</f>
        <v>ICTVonline=20170625</v>
      </c>
      <c r="L511" s="3">
        <v>510</v>
      </c>
    </row>
    <row r="512" spans="1:12" x14ac:dyDescent="0.15">
      <c r="A512" s="1" t="s">
        <v>1341</v>
      </c>
      <c r="B512" s="1" t="s">
        <v>903</v>
      </c>
      <c r="D512" s="1" t="s">
        <v>3072</v>
      </c>
      <c r="E512" s="1" t="s">
        <v>3073</v>
      </c>
      <c r="F512" s="3">
        <v>1</v>
      </c>
      <c r="G512" s="8" t="s">
        <v>2771</v>
      </c>
      <c r="H512" s="8" t="s">
        <v>5160</v>
      </c>
      <c r="I512" s="3">
        <v>30</v>
      </c>
      <c r="J512" s="3" t="s">
        <v>5297</v>
      </c>
      <c r="K512" s="17" t="str">
        <f>HYPERLINK("http://ictvonline.org/taxonomyHistory.asp?taxnode_id=20170627","ICTVonline=20170627")</f>
        <v>ICTVonline=20170627</v>
      </c>
      <c r="L512" s="3">
        <v>511</v>
      </c>
    </row>
    <row r="513" spans="1:12" x14ac:dyDescent="0.15">
      <c r="A513" s="1" t="s">
        <v>1341</v>
      </c>
      <c r="B513" s="1" t="s">
        <v>903</v>
      </c>
      <c r="D513" s="1" t="s">
        <v>3072</v>
      </c>
      <c r="E513" s="1" t="s">
        <v>3074</v>
      </c>
      <c r="F513" s="3">
        <v>0</v>
      </c>
      <c r="G513" s="8" t="s">
        <v>2771</v>
      </c>
      <c r="H513" s="8" t="s">
        <v>5160</v>
      </c>
      <c r="I513" s="3">
        <v>30</v>
      </c>
      <c r="J513" s="3" t="s">
        <v>5297</v>
      </c>
      <c r="K513" s="17" t="str">
        <f>HYPERLINK("http://ictvonline.org/taxonomyHistory.asp?taxnode_id=20170628","ICTVonline=20170628")</f>
        <v>ICTVonline=20170628</v>
      </c>
      <c r="L513" s="3">
        <v>512</v>
      </c>
    </row>
    <row r="514" spans="1:12" x14ac:dyDescent="0.15">
      <c r="A514" s="1" t="s">
        <v>1341</v>
      </c>
      <c r="B514" s="1" t="s">
        <v>903</v>
      </c>
      <c r="D514" s="1" t="s">
        <v>3075</v>
      </c>
      <c r="E514" s="1" t="s">
        <v>3076</v>
      </c>
      <c r="F514" s="3">
        <v>1</v>
      </c>
      <c r="G514" s="8" t="s">
        <v>2771</v>
      </c>
      <c r="H514" s="8" t="s">
        <v>5159</v>
      </c>
      <c r="I514" s="3">
        <v>30</v>
      </c>
      <c r="J514" s="3" t="s">
        <v>5358</v>
      </c>
      <c r="K514" s="17" t="str">
        <f>HYPERLINK("http://ictvonline.org/taxonomyHistory.asp?taxnode_id=20170630","ICTVonline=20170630")</f>
        <v>ICTVonline=20170630</v>
      </c>
      <c r="L514" s="3">
        <v>513</v>
      </c>
    </row>
    <row r="515" spans="1:12" x14ac:dyDescent="0.15">
      <c r="A515" s="1" t="s">
        <v>1341</v>
      </c>
      <c r="B515" s="1" t="s">
        <v>903</v>
      </c>
      <c r="D515" s="1" t="s">
        <v>3075</v>
      </c>
      <c r="E515" s="1" t="s">
        <v>3077</v>
      </c>
      <c r="F515" s="3">
        <v>0</v>
      </c>
      <c r="G515" s="8" t="s">
        <v>2771</v>
      </c>
      <c r="H515" s="8" t="s">
        <v>5159</v>
      </c>
      <c r="I515" s="3">
        <v>30</v>
      </c>
      <c r="J515" s="3" t="s">
        <v>5358</v>
      </c>
      <c r="K515" s="17" t="str">
        <f>HYPERLINK("http://ictvonline.org/taxonomyHistory.asp?taxnode_id=20170631","ICTVonline=20170631")</f>
        <v>ICTVonline=20170631</v>
      </c>
      <c r="L515" s="3">
        <v>514</v>
      </c>
    </row>
    <row r="516" spans="1:12" x14ac:dyDescent="0.15">
      <c r="A516" s="1" t="s">
        <v>1341</v>
      </c>
      <c r="B516" s="1" t="s">
        <v>903</v>
      </c>
      <c r="D516" s="1" t="s">
        <v>5359</v>
      </c>
      <c r="E516" s="1" t="s">
        <v>5360</v>
      </c>
      <c r="F516" s="3">
        <v>1</v>
      </c>
      <c r="G516" s="8" t="s">
        <v>2771</v>
      </c>
      <c r="H516" s="8" t="s">
        <v>5159</v>
      </c>
      <c r="I516" s="3">
        <v>32</v>
      </c>
      <c r="J516" s="3" t="s">
        <v>5361</v>
      </c>
      <c r="K516" s="17" t="str">
        <f>HYPERLINK("http://ictvonline.org/taxonomyHistory.asp?taxnode_id=20175488","ICTVonline=20175488")</f>
        <v>ICTVonline=20175488</v>
      </c>
      <c r="L516" s="3">
        <v>515</v>
      </c>
    </row>
    <row r="517" spans="1:12" x14ac:dyDescent="0.15">
      <c r="A517" s="1" t="s">
        <v>1341</v>
      </c>
      <c r="B517" s="1" t="s">
        <v>903</v>
      </c>
      <c r="D517" s="1" t="s">
        <v>4491</v>
      </c>
      <c r="E517" s="1" t="s">
        <v>4492</v>
      </c>
      <c r="F517" s="3">
        <v>1</v>
      </c>
      <c r="G517" s="8" t="s">
        <v>2771</v>
      </c>
      <c r="H517" s="8" t="s">
        <v>5159</v>
      </c>
      <c r="I517" s="3">
        <v>31</v>
      </c>
      <c r="J517" s="3" t="s">
        <v>5362</v>
      </c>
      <c r="K517" s="17" t="str">
        <f>HYPERLINK("http://ictvonline.org/taxonomyHistory.asp?taxnode_id=20170633","ICTVonline=20170633")</f>
        <v>ICTVonline=20170633</v>
      </c>
      <c r="L517" s="3">
        <v>516</v>
      </c>
    </row>
    <row r="518" spans="1:12" x14ac:dyDescent="0.15">
      <c r="A518" s="1" t="s">
        <v>1341</v>
      </c>
      <c r="B518" s="1" t="s">
        <v>903</v>
      </c>
      <c r="D518" s="1" t="s">
        <v>4491</v>
      </c>
      <c r="E518" s="1" t="s">
        <v>4493</v>
      </c>
      <c r="F518" s="3">
        <v>0</v>
      </c>
      <c r="G518" s="8" t="s">
        <v>2771</v>
      </c>
      <c r="H518" s="8" t="s">
        <v>5159</v>
      </c>
      <c r="I518" s="3">
        <v>31</v>
      </c>
      <c r="J518" s="3" t="s">
        <v>5362</v>
      </c>
      <c r="K518" s="17" t="str">
        <f>HYPERLINK("http://ictvonline.org/taxonomyHistory.asp?taxnode_id=20170634","ICTVonline=20170634")</f>
        <v>ICTVonline=20170634</v>
      </c>
      <c r="L518" s="3">
        <v>517</v>
      </c>
    </row>
    <row r="519" spans="1:12" x14ac:dyDescent="0.15">
      <c r="A519" s="1" t="s">
        <v>1341</v>
      </c>
      <c r="B519" s="1" t="s">
        <v>903</v>
      </c>
      <c r="D519" s="1" t="s">
        <v>3078</v>
      </c>
      <c r="E519" s="1" t="s">
        <v>3079</v>
      </c>
      <c r="F519" s="3">
        <v>0</v>
      </c>
      <c r="G519" s="8" t="s">
        <v>2771</v>
      </c>
      <c r="H519" s="8" t="s">
        <v>5160</v>
      </c>
      <c r="I519" s="3">
        <v>30</v>
      </c>
      <c r="J519" s="3" t="s">
        <v>5297</v>
      </c>
      <c r="K519" s="17" t="str">
        <f>HYPERLINK("http://ictvonline.org/taxonomyHistory.asp?taxnode_id=20170636","ICTVonline=20170636")</f>
        <v>ICTVonline=20170636</v>
      </c>
      <c r="L519" s="3">
        <v>518</v>
      </c>
    </row>
    <row r="520" spans="1:12" x14ac:dyDescent="0.15">
      <c r="A520" s="1" t="s">
        <v>1341</v>
      </c>
      <c r="B520" s="1" t="s">
        <v>903</v>
      </c>
      <c r="D520" s="1" t="s">
        <v>3078</v>
      </c>
      <c r="E520" s="1" t="s">
        <v>3080</v>
      </c>
      <c r="F520" s="3">
        <v>1</v>
      </c>
      <c r="G520" s="8" t="s">
        <v>2771</v>
      </c>
      <c r="H520" s="8" t="s">
        <v>5160</v>
      </c>
      <c r="I520" s="3">
        <v>30</v>
      </c>
      <c r="J520" s="3" t="s">
        <v>5297</v>
      </c>
      <c r="K520" s="17" t="str">
        <f>HYPERLINK("http://ictvonline.org/taxonomyHistory.asp?taxnode_id=20170637","ICTVonline=20170637")</f>
        <v>ICTVonline=20170637</v>
      </c>
      <c r="L520" s="3">
        <v>519</v>
      </c>
    </row>
    <row r="521" spans="1:12" x14ac:dyDescent="0.15">
      <c r="A521" s="1" t="s">
        <v>1341</v>
      </c>
      <c r="B521" s="1" t="s">
        <v>903</v>
      </c>
      <c r="D521" s="1" t="s">
        <v>3078</v>
      </c>
      <c r="E521" s="1" t="s">
        <v>4494</v>
      </c>
      <c r="F521" s="3">
        <v>0</v>
      </c>
      <c r="G521" s="8" t="s">
        <v>2771</v>
      </c>
      <c r="H521" s="8" t="s">
        <v>5159</v>
      </c>
      <c r="I521" s="3">
        <v>31</v>
      </c>
      <c r="J521" s="3" t="s">
        <v>5363</v>
      </c>
      <c r="K521" s="17" t="str">
        <f>HYPERLINK("http://ictvonline.org/taxonomyHistory.asp?taxnode_id=20170638","ICTVonline=20170638")</f>
        <v>ICTVonline=20170638</v>
      </c>
      <c r="L521" s="3">
        <v>520</v>
      </c>
    </row>
    <row r="522" spans="1:12" x14ac:dyDescent="0.15">
      <c r="A522" s="1" t="s">
        <v>1341</v>
      </c>
      <c r="B522" s="1" t="s">
        <v>903</v>
      </c>
      <c r="D522" s="1" t="s">
        <v>3081</v>
      </c>
      <c r="E522" s="1" t="s">
        <v>3082</v>
      </c>
      <c r="F522" s="3">
        <v>1</v>
      </c>
      <c r="G522" s="8" t="s">
        <v>2771</v>
      </c>
      <c r="H522" s="8" t="s">
        <v>5160</v>
      </c>
      <c r="I522" s="3">
        <v>30</v>
      </c>
      <c r="J522" s="3" t="s">
        <v>5297</v>
      </c>
      <c r="K522" s="17" t="str">
        <f>HYPERLINK("http://ictvonline.org/taxonomyHistory.asp?taxnode_id=20170640","ICTVonline=20170640")</f>
        <v>ICTVonline=20170640</v>
      </c>
      <c r="L522" s="3">
        <v>521</v>
      </c>
    </row>
    <row r="523" spans="1:12" x14ac:dyDescent="0.15">
      <c r="A523" s="1" t="s">
        <v>1341</v>
      </c>
      <c r="B523" s="1" t="s">
        <v>903</v>
      </c>
      <c r="D523" s="1" t="s">
        <v>3081</v>
      </c>
      <c r="E523" s="1" t="s">
        <v>3083</v>
      </c>
      <c r="F523" s="3">
        <v>0</v>
      </c>
      <c r="G523" s="8" t="s">
        <v>2771</v>
      </c>
      <c r="H523" s="8" t="s">
        <v>5160</v>
      </c>
      <c r="I523" s="3">
        <v>30</v>
      </c>
      <c r="J523" s="3" t="s">
        <v>5297</v>
      </c>
      <c r="K523" s="17" t="str">
        <f>HYPERLINK("http://ictvonline.org/taxonomyHistory.asp?taxnode_id=20170641","ICTVonline=20170641")</f>
        <v>ICTVonline=20170641</v>
      </c>
      <c r="L523" s="3">
        <v>522</v>
      </c>
    </row>
    <row r="524" spans="1:12" x14ac:dyDescent="0.15">
      <c r="A524" s="1" t="s">
        <v>1341</v>
      </c>
      <c r="B524" s="1" t="s">
        <v>903</v>
      </c>
      <c r="D524" s="1" t="s">
        <v>3087</v>
      </c>
      <c r="E524" s="1" t="s">
        <v>3088</v>
      </c>
      <c r="F524" s="3">
        <v>0</v>
      </c>
      <c r="G524" s="8" t="s">
        <v>2771</v>
      </c>
      <c r="H524" s="8" t="s">
        <v>5159</v>
      </c>
      <c r="I524" s="3">
        <v>30</v>
      </c>
      <c r="J524" s="3" t="s">
        <v>5364</v>
      </c>
      <c r="K524" s="17" t="str">
        <f>HYPERLINK("http://ictvonline.org/taxonomyHistory.asp?taxnode_id=20170643","ICTVonline=20170643")</f>
        <v>ICTVonline=20170643</v>
      </c>
      <c r="L524" s="3">
        <v>523</v>
      </c>
    </row>
    <row r="525" spans="1:12" x14ac:dyDescent="0.15">
      <c r="A525" s="1" t="s">
        <v>1341</v>
      </c>
      <c r="B525" s="1" t="s">
        <v>903</v>
      </c>
      <c r="D525" s="1" t="s">
        <v>3087</v>
      </c>
      <c r="E525" s="1" t="s">
        <v>3089</v>
      </c>
      <c r="F525" s="3">
        <v>0</v>
      </c>
      <c r="G525" s="8" t="s">
        <v>2771</v>
      </c>
      <c r="H525" s="8" t="s">
        <v>5159</v>
      </c>
      <c r="I525" s="3">
        <v>30</v>
      </c>
      <c r="J525" s="3" t="s">
        <v>5364</v>
      </c>
      <c r="K525" s="17" t="str">
        <f>HYPERLINK("http://ictvonline.org/taxonomyHistory.asp?taxnode_id=20170644","ICTVonline=20170644")</f>
        <v>ICTVonline=20170644</v>
      </c>
      <c r="L525" s="3">
        <v>524</v>
      </c>
    </row>
    <row r="526" spans="1:12" x14ac:dyDescent="0.15">
      <c r="A526" s="1" t="s">
        <v>1341</v>
      </c>
      <c r="B526" s="1" t="s">
        <v>903</v>
      </c>
      <c r="D526" s="1" t="s">
        <v>3087</v>
      </c>
      <c r="E526" s="1" t="s">
        <v>3090</v>
      </c>
      <c r="F526" s="3">
        <v>0</v>
      </c>
      <c r="G526" s="8" t="s">
        <v>2771</v>
      </c>
      <c r="H526" s="8" t="s">
        <v>5159</v>
      </c>
      <c r="I526" s="3">
        <v>30</v>
      </c>
      <c r="J526" s="3" t="s">
        <v>5364</v>
      </c>
      <c r="K526" s="17" t="str">
        <f>HYPERLINK("http://ictvonline.org/taxonomyHistory.asp?taxnode_id=20170645","ICTVonline=20170645")</f>
        <v>ICTVonline=20170645</v>
      </c>
      <c r="L526" s="3">
        <v>525</v>
      </c>
    </row>
    <row r="527" spans="1:12" x14ac:dyDescent="0.15">
      <c r="A527" s="1" t="s">
        <v>1341</v>
      </c>
      <c r="B527" s="1" t="s">
        <v>903</v>
      </c>
      <c r="D527" s="1" t="s">
        <v>3087</v>
      </c>
      <c r="E527" s="1" t="s">
        <v>3091</v>
      </c>
      <c r="F527" s="3">
        <v>0</v>
      </c>
      <c r="G527" s="8" t="s">
        <v>2771</v>
      </c>
      <c r="H527" s="8" t="s">
        <v>5159</v>
      </c>
      <c r="I527" s="3">
        <v>30</v>
      </c>
      <c r="J527" s="3" t="s">
        <v>5364</v>
      </c>
      <c r="K527" s="17" t="str">
        <f>HYPERLINK("http://ictvonline.org/taxonomyHistory.asp?taxnode_id=20170646","ICTVonline=20170646")</f>
        <v>ICTVonline=20170646</v>
      </c>
      <c r="L527" s="3">
        <v>526</v>
      </c>
    </row>
    <row r="528" spans="1:12" x14ac:dyDescent="0.15">
      <c r="A528" s="1" t="s">
        <v>1341</v>
      </c>
      <c r="B528" s="1" t="s">
        <v>903</v>
      </c>
      <c r="D528" s="1" t="s">
        <v>3087</v>
      </c>
      <c r="E528" s="1" t="s">
        <v>3092</v>
      </c>
      <c r="F528" s="3">
        <v>0</v>
      </c>
      <c r="G528" s="8" t="s">
        <v>2771</v>
      </c>
      <c r="H528" s="8" t="s">
        <v>5159</v>
      </c>
      <c r="I528" s="3">
        <v>30</v>
      </c>
      <c r="J528" s="3" t="s">
        <v>5364</v>
      </c>
      <c r="K528" s="17" t="str">
        <f>HYPERLINK("http://ictvonline.org/taxonomyHistory.asp?taxnode_id=20170647","ICTVonline=20170647")</f>
        <v>ICTVonline=20170647</v>
      </c>
      <c r="L528" s="3">
        <v>527</v>
      </c>
    </row>
    <row r="529" spans="1:12" x14ac:dyDescent="0.15">
      <c r="A529" s="1" t="s">
        <v>1341</v>
      </c>
      <c r="B529" s="1" t="s">
        <v>903</v>
      </c>
      <c r="D529" s="1" t="s">
        <v>3087</v>
      </c>
      <c r="E529" s="1" t="s">
        <v>3093</v>
      </c>
      <c r="F529" s="3">
        <v>1</v>
      </c>
      <c r="G529" s="8" t="s">
        <v>2771</v>
      </c>
      <c r="H529" s="8" t="s">
        <v>5159</v>
      </c>
      <c r="I529" s="3">
        <v>30</v>
      </c>
      <c r="J529" s="3" t="s">
        <v>5364</v>
      </c>
      <c r="K529" s="17" t="str">
        <f>HYPERLINK("http://ictvonline.org/taxonomyHistory.asp?taxnode_id=20170648","ICTVonline=20170648")</f>
        <v>ICTVonline=20170648</v>
      </c>
      <c r="L529" s="3">
        <v>528</v>
      </c>
    </row>
    <row r="530" spans="1:12" x14ac:dyDescent="0.15">
      <c r="A530" s="1" t="s">
        <v>1341</v>
      </c>
      <c r="B530" s="1" t="s">
        <v>903</v>
      </c>
      <c r="D530" s="1" t="s">
        <v>3087</v>
      </c>
      <c r="E530" s="1" t="s">
        <v>3094</v>
      </c>
      <c r="F530" s="3">
        <v>0</v>
      </c>
      <c r="G530" s="8" t="s">
        <v>2771</v>
      </c>
      <c r="H530" s="8" t="s">
        <v>5159</v>
      </c>
      <c r="I530" s="3">
        <v>30</v>
      </c>
      <c r="J530" s="3" t="s">
        <v>5364</v>
      </c>
      <c r="K530" s="17" t="str">
        <f>HYPERLINK("http://ictvonline.org/taxonomyHistory.asp?taxnode_id=20170649","ICTVonline=20170649")</f>
        <v>ICTVonline=20170649</v>
      </c>
      <c r="L530" s="3">
        <v>529</v>
      </c>
    </row>
    <row r="531" spans="1:12" x14ac:dyDescent="0.15">
      <c r="A531" s="1" t="s">
        <v>1341</v>
      </c>
      <c r="B531" s="1" t="s">
        <v>903</v>
      </c>
      <c r="D531" s="1" t="s">
        <v>3087</v>
      </c>
      <c r="E531" s="1" t="s">
        <v>3095</v>
      </c>
      <c r="F531" s="3">
        <v>0</v>
      </c>
      <c r="G531" s="8" t="s">
        <v>2771</v>
      </c>
      <c r="H531" s="8" t="s">
        <v>5159</v>
      </c>
      <c r="I531" s="3">
        <v>30</v>
      </c>
      <c r="J531" s="3" t="s">
        <v>5364</v>
      </c>
      <c r="K531" s="17" t="str">
        <f>HYPERLINK("http://ictvonline.org/taxonomyHistory.asp?taxnode_id=20170650","ICTVonline=20170650")</f>
        <v>ICTVonline=20170650</v>
      </c>
      <c r="L531" s="3">
        <v>530</v>
      </c>
    </row>
    <row r="532" spans="1:12" x14ac:dyDescent="0.15">
      <c r="A532" s="1" t="s">
        <v>1341</v>
      </c>
      <c r="B532" s="1" t="s">
        <v>903</v>
      </c>
      <c r="D532" s="1" t="s">
        <v>5365</v>
      </c>
      <c r="E532" s="1" t="s">
        <v>5366</v>
      </c>
      <c r="F532" s="3">
        <v>0</v>
      </c>
      <c r="G532" s="8" t="s">
        <v>2771</v>
      </c>
      <c r="H532" s="8" t="s">
        <v>5159</v>
      </c>
      <c r="I532" s="3">
        <v>32</v>
      </c>
      <c r="J532" s="3" t="s">
        <v>5367</v>
      </c>
      <c r="K532" s="17" t="str">
        <f>HYPERLINK("http://ictvonline.org/taxonomyHistory.asp?taxnode_id=20175490","ICTVonline=20175490")</f>
        <v>ICTVonline=20175490</v>
      </c>
      <c r="L532" s="3">
        <v>531</v>
      </c>
    </row>
    <row r="533" spans="1:12" x14ac:dyDescent="0.15">
      <c r="A533" s="1" t="s">
        <v>1341</v>
      </c>
      <c r="B533" s="1" t="s">
        <v>903</v>
      </c>
      <c r="D533" s="1" t="s">
        <v>5365</v>
      </c>
      <c r="E533" s="1" t="s">
        <v>5368</v>
      </c>
      <c r="F533" s="3">
        <v>1</v>
      </c>
      <c r="G533" s="8" t="s">
        <v>2771</v>
      </c>
      <c r="H533" s="8" t="s">
        <v>5159</v>
      </c>
      <c r="I533" s="3">
        <v>32</v>
      </c>
      <c r="J533" s="3" t="s">
        <v>5367</v>
      </c>
      <c r="K533" s="17" t="str">
        <f>HYPERLINK("http://ictvonline.org/taxonomyHistory.asp?taxnode_id=20175491","ICTVonline=20175491")</f>
        <v>ICTVonline=20175491</v>
      </c>
      <c r="L533" s="3">
        <v>532</v>
      </c>
    </row>
    <row r="534" spans="1:12" x14ac:dyDescent="0.15">
      <c r="A534" s="1" t="s">
        <v>1341</v>
      </c>
      <c r="B534" s="1" t="s">
        <v>903</v>
      </c>
      <c r="D534" s="1" t="s">
        <v>4495</v>
      </c>
      <c r="E534" s="1" t="s">
        <v>4496</v>
      </c>
      <c r="F534" s="3">
        <v>1</v>
      </c>
      <c r="G534" s="8" t="s">
        <v>2771</v>
      </c>
      <c r="H534" s="8" t="s">
        <v>5159</v>
      </c>
      <c r="I534" s="3">
        <v>31</v>
      </c>
      <c r="J534" s="3" t="s">
        <v>5369</v>
      </c>
      <c r="K534" s="17" t="str">
        <f>HYPERLINK("http://ictvonline.org/taxonomyHistory.asp?taxnode_id=20170652","ICTVonline=20170652")</f>
        <v>ICTVonline=20170652</v>
      </c>
      <c r="L534" s="3">
        <v>533</v>
      </c>
    </row>
    <row r="535" spans="1:12" x14ac:dyDescent="0.15">
      <c r="A535" s="1" t="s">
        <v>1341</v>
      </c>
      <c r="B535" s="1" t="s">
        <v>903</v>
      </c>
      <c r="D535" s="1" t="s">
        <v>4497</v>
      </c>
      <c r="E535" s="1" t="s">
        <v>4498</v>
      </c>
      <c r="F535" s="3">
        <v>1</v>
      </c>
      <c r="G535" s="8" t="s">
        <v>2771</v>
      </c>
      <c r="H535" s="8" t="s">
        <v>5159</v>
      </c>
      <c r="I535" s="3">
        <v>31</v>
      </c>
      <c r="J535" s="3" t="s">
        <v>5370</v>
      </c>
      <c r="K535" s="17" t="str">
        <f>HYPERLINK("http://ictvonline.org/taxonomyHistory.asp?taxnode_id=20170654","ICTVonline=20170654")</f>
        <v>ICTVonline=20170654</v>
      </c>
      <c r="L535" s="3">
        <v>534</v>
      </c>
    </row>
    <row r="536" spans="1:12" x14ac:dyDescent="0.15">
      <c r="A536" s="1" t="s">
        <v>1341</v>
      </c>
      <c r="B536" s="1" t="s">
        <v>903</v>
      </c>
      <c r="D536" s="1" t="s">
        <v>4497</v>
      </c>
      <c r="E536" s="1" t="s">
        <v>4499</v>
      </c>
      <c r="F536" s="3">
        <v>0</v>
      </c>
      <c r="G536" s="8" t="s">
        <v>2771</v>
      </c>
      <c r="H536" s="8" t="s">
        <v>5159</v>
      </c>
      <c r="I536" s="3">
        <v>31</v>
      </c>
      <c r="J536" s="3" t="s">
        <v>5370</v>
      </c>
      <c r="K536" s="17" t="str">
        <f>HYPERLINK("http://ictvonline.org/taxonomyHistory.asp?taxnode_id=20170655","ICTVonline=20170655")</f>
        <v>ICTVonline=20170655</v>
      </c>
      <c r="L536" s="3">
        <v>535</v>
      </c>
    </row>
    <row r="537" spans="1:12" x14ac:dyDescent="0.15">
      <c r="A537" s="1" t="s">
        <v>1341</v>
      </c>
      <c r="B537" s="1" t="s">
        <v>903</v>
      </c>
      <c r="D537" s="1" t="s">
        <v>3096</v>
      </c>
      <c r="E537" s="1" t="s">
        <v>3097</v>
      </c>
      <c r="F537" s="3">
        <v>0</v>
      </c>
      <c r="G537" s="8" t="s">
        <v>2771</v>
      </c>
      <c r="H537" s="8" t="s">
        <v>5159</v>
      </c>
      <c r="I537" s="3">
        <v>30</v>
      </c>
      <c r="J537" s="3" t="s">
        <v>5371</v>
      </c>
      <c r="K537" s="17" t="str">
        <f>HYPERLINK("http://ictvonline.org/taxonomyHistory.asp?taxnode_id=20170657","ICTVonline=20170657")</f>
        <v>ICTVonline=20170657</v>
      </c>
      <c r="L537" s="3">
        <v>536</v>
      </c>
    </row>
    <row r="538" spans="1:12" x14ac:dyDescent="0.15">
      <c r="A538" s="1" t="s">
        <v>1341</v>
      </c>
      <c r="B538" s="1" t="s">
        <v>903</v>
      </c>
      <c r="D538" s="1" t="s">
        <v>3096</v>
      </c>
      <c r="E538" s="1" t="s">
        <v>3098</v>
      </c>
      <c r="F538" s="3">
        <v>1</v>
      </c>
      <c r="G538" s="8" t="s">
        <v>2771</v>
      </c>
      <c r="H538" s="8" t="s">
        <v>5159</v>
      </c>
      <c r="I538" s="3">
        <v>30</v>
      </c>
      <c r="J538" s="3" t="s">
        <v>5371</v>
      </c>
      <c r="K538" s="17" t="str">
        <f>HYPERLINK("http://ictvonline.org/taxonomyHistory.asp?taxnode_id=20170658","ICTVonline=20170658")</f>
        <v>ICTVonline=20170658</v>
      </c>
      <c r="L538" s="3">
        <v>537</v>
      </c>
    </row>
    <row r="539" spans="1:12" x14ac:dyDescent="0.15">
      <c r="A539" s="1" t="s">
        <v>1341</v>
      </c>
      <c r="B539" s="1" t="s">
        <v>903</v>
      </c>
      <c r="D539" s="1" t="s">
        <v>3096</v>
      </c>
      <c r="E539" s="1" t="s">
        <v>3099</v>
      </c>
      <c r="F539" s="3">
        <v>0</v>
      </c>
      <c r="G539" s="8" t="s">
        <v>2771</v>
      </c>
      <c r="H539" s="8" t="s">
        <v>5159</v>
      </c>
      <c r="I539" s="3">
        <v>30</v>
      </c>
      <c r="J539" s="3" t="s">
        <v>5371</v>
      </c>
      <c r="K539" s="17" t="str">
        <f>HYPERLINK("http://ictvonline.org/taxonomyHistory.asp?taxnode_id=20170659","ICTVonline=20170659")</f>
        <v>ICTVonline=20170659</v>
      </c>
      <c r="L539" s="3">
        <v>538</v>
      </c>
    </row>
    <row r="540" spans="1:12" x14ac:dyDescent="0.15">
      <c r="A540" s="1" t="s">
        <v>1341</v>
      </c>
      <c r="B540" s="1" t="s">
        <v>903</v>
      </c>
      <c r="D540" s="1" t="s">
        <v>3100</v>
      </c>
      <c r="E540" s="1" t="s">
        <v>3101</v>
      </c>
      <c r="F540" s="3">
        <v>0</v>
      </c>
      <c r="G540" s="8" t="s">
        <v>2771</v>
      </c>
      <c r="H540" s="8" t="s">
        <v>5159</v>
      </c>
      <c r="I540" s="3">
        <v>30</v>
      </c>
      <c r="J540" s="3" t="s">
        <v>5372</v>
      </c>
      <c r="K540" s="17" t="str">
        <f>HYPERLINK("http://ictvonline.org/taxonomyHistory.asp?taxnode_id=20170661","ICTVonline=20170661")</f>
        <v>ICTVonline=20170661</v>
      </c>
      <c r="L540" s="3">
        <v>539</v>
      </c>
    </row>
    <row r="541" spans="1:12" x14ac:dyDescent="0.15">
      <c r="A541" s="1" t="s">
        <v>1341</v>
      </c>
      <c r="B541" s="1" t="s">
        <v>903</v>
      </c>
      <c r="D541" s="1" t="s">
        <v>3100</v>
      </c>
      <c r="E541" s="1" t="s">
        <v>3102</v>
      </c>
      <c r="F541" s="3">
        <v>0</v>
      </c>
      <c r="G541" s="8" t="s">
        <v>2771</v>
      </c>
      <c r="H541" s="8" t="s">
        <v>5159</v>
      </c>
      <c r="I541" s="3">
        <v>30</v>
      </c>
      <c r="J541" s="3" t="s">
        <v>5372</v>
      </c>
      <c r="K541" s="17" t="str">
        <f>HYPERLINK("http://ictvonline.org/taxonomyHistory.asp?taxnode_id=20170662","ICTVonline=20170662")</f>
        <v>ICTVonline=20170662</v>
      </c>
      <c r="L541" s="3">
        <v>540</v>
      </c>
    </row>
    <row r="542" spans="1:12" x14ac:dyDescent="0.15">
      <c r="A542" s="1" t="s">
        <v>1341</v>
      </c>
      <c r="B542" s="1" t="s">
        <v>903</v>
      </c>
      <c r="D542" s="1" t="s">
        <v>3100</v>
      </c>
      <c r="E542" s="1" t="s">
        <v>3103</v>
      </c>
      <c r="F542" s="3">
        <v>1</v>
      </c>
      <c r="G542" s="8" t="s">
        <v>2771</v>
      </c>
      <c r="H542" s="8" t="s">
        <v>5160</v>
      </c>
      <c r="I542" s="3">
        <v>30</v>
      </c>
      <c r="J542" s="3" t="s">
        <v>5297</v>
      </c>
      <c r="K542" s="17" t="str">
        <f>HYPERLINK("http://ictvonline.org/taxonomyHistory.asp?taxnode_id=20170663","ICTVonline=20170663")</f>
        <v>ICTVonline=20170663</v>
      </c>
      <c r="L542" s="3">
        <v>541</v>
      </c>
    </row>
    <row r="543" spans="1:12" x14ac:dyDescent="0.15">
      <c r="A543" s="1" t="s">
        <v>1341</v>
      </c>
      <c r="B543" s="1" t="s">
        <v>903</v>
      </c>
      <c r="D543" s="1" t="s">
        <v>3100</v>
      </c>
      <c r="E543" s="1" t="s">
        <v>3104</v>
      </c>
      <c r="F543" s="3">
        <v>0</v>
      </c>
      <c r="G543" s="8" t="s">
        <v>2771</v>
      </c>
      <c r="H543" s="8" t="s">
        <v>5159</v>
      </c>
      <c r="I543" s="3">
        <v>30</v>
      </c>
      <c r="J543" s="3" t="s">
        <v>5372</v>
      </c>
      <c r="K543" s="17" t="str">
        <f>HYPERLINK("http://ictvonline.org/taxonomyHistory.asp?taxnode_id=20170664","ICTVonline=20170664")</f>
        <v>ICTVonline=20170664</v>
      </c>
      <c r="L543" s="3">
        <v>542</v>
      </c>
    </row>
    <row r="544" spans="1:12" x14ac:dyDescent="0.15">
      <c r="A544" s="1" t="s">
        <v>1341</v>
      </c>
      <c r="B544" s="1" t="s">
        <v>903</v>
      </c>
      <c r="D544" s="1" t="s">
        <v>3100</v>
      </c>
      <c r="E544" s="1" t="s">
        <v>3105</v>
      </c>
      <c r="F544" s="3">
        <v>0</v>
      </c>
      <c r="G544" s="8" t="s">
        <v>2771</v>
      </c>
      <c r="H544" s="8" t="s">
        <v>5160</v>
      </c>
      <c r="I544" s="3">
        <v>30</v>
      </c>
      <c r="J544" s="3" t="s">
        <v>5297</v>
      </c>
      <c r="K544" s="17" t="str">
        <f>HYPERLINK("http://ictvonline.org/taxonomyHistory.asp?taxnode_id=20170665","ICTVonline=20170665")</f>
        <v>ICTVonline=20170665</v>
      </c>
      <c r="L544" s="3">
        <v>543</v>
      </c>
    </row>
    <row r="545" spans="1:12" x14ac:dyDescent="0.15">
      <c r="A545" s="1" t="s">
        <v>1341</v>
      </c>
      <c r="B545" s="1" t="s">
        <v>903</v>
      </c>
      <c r="D545" s="1" t="s">
        <v>3100</v>
      </c>
      <c r="E545" s="1" t="s">
        <v>3106</v>
      </c>
      <c r="F545" s="3">
        <v>0</v>
      </c>
      <c r="G545" s="8" t="s">
        <v>2771</v>
      </c>
      <c r="H545" s="8" t="s">
        <v>5159</v>
      </c>
      <c r="I545" s="3">
        <v>30</v>
      </c>
      <c r="J545" s="3" t="s">
        <v>5372</v>
      </c>
      <c r="K545" s="17" t="str">
        <f>HYPERLINK("http://ictvonline.org/taxonomyHistory.asp?taxnode_id=20170666","ICTVonline=20170666")</f>
        <v>ICTVonline=20170666</v>
      </c>
      <c r="L545" s="3">
        <v>544</v>
      </c>
    </row>
    <row r="546" spans="1:12" x14ac:dyDescent="0.15">
      <c r="A546" s="1" t="s">
        <v>1341</v>
      </c>
      <c r="B546" s="1" t="s">
        <v>903</v>
      </c>
      <c r="D546" s="1" t="s">
        <v>3100</v>
      </c>
      <c r="E546" s="1" t="s">
        <v>3107</v>
      </c>
      <c r="F546" s="3">
        <v>0</v>
      </c>
      <c r="G546" s="8" t="s">
        <v>2771</v>
      </c>
      <c r="H546" s="8" t="s">
        <v>5159</v>
      </c>
      <c r="I546" s="3">
        <v>30</v>
      </c>
      <c r="J546" s="3" t="s">
        <v>5372</v>
      </c>
      <c r="K546" s="17" t="str">
        <f>HYPERLINK("http://ictvonline.org/taxonomyHistory.asp?taxnode_id=20170667","ICTVonline=20170667")</f>
        <v>ICTVonline=20170667</v>
      </c>
      <c r="L546" s="3">
        <v>545</v>
      </c>
    </row>
    <row r="547" spans="1:12" x14ac:dyDescent="0.15">
      <c r="A547" s="1" t="s">
        <v>1341</v>
      </c>
      <c r="B547" s="1" t="s">
        <v>903</v>
      </c>
      <c r="D547" s="1" t="s">
        <v>4500</v>
      </c>
      <c r="E547" s="1" t="s">
        <v>4501</v>
      </c>
      <c r="F547" s="3">
        <v>0</v>
      </c>
      <c r="G547" s="8" t="s">
        <v>2771</v>
      </c>
      <c r="H547" s="8" t="s">
        <v>5159</v>
      </c>
      <c r="I547" s="3">
        <v>31</v>
      </c>
      <c r="J547" s="3" t="s">
        <v>5373</v>
      </c>
      <c r="K547" s="17" t="str">
        <f>HYPERLINK("http://ictvonline.org/taxonomyHistory.asp?taxnode_id=20170669","ICTVonline=20170669")</f>
        <v>ICTVonline=20170669</v>
      </c>
      <c r="L547" s="3">
        <v>546</v>
      </c>
    </row>
    <row r="548" spans="1:12" x14ac:dyDescent="0.15">
      <c r="A548" s="1" t="s">
        <v>1341</v>
      </c>
      <c r="B548" s="1" t="s">
        <v>903</v>
      </c>
      <c r="D548" s="1" t="s">
        <v>4500</v>
      </c>
      <c r="E548" s="1" t="s">
        <v>4502</v>
      </c>
      <c r="F548" s="3">
        <v>1</v>
      </c>
      <c r="G548" s="8" t="s">
        <v>2771</v>
      </c>
      <c r="H548" s="8" t="s">
        <v>5159</v>
      </c>
      <c r="I548" s="3">
        <v>31</v>
      </c>
      <c r="J548" s="3" t="s">
        <v>5373</v>
      </c>
      <c r="K548" s="17" t="str">
        <f>HYPERLINK("http://ictvonline.org/taxonomyHistory.asp?taxnode_id=20170670","ICTVonline=20170670")</f>
        <v>ICTVonline=20170670</v>
      </c>
      <c r="L548" s="3">
        <v>547</v>
      </c>
    </row>
    <row r="549" spans="1:12" x14ac:dyDescent="0.15">
      <c r="A549" s="1" t="s">
        <v>1341</v>
      </c>
      <c r="B549" s="1" t="s">
        <v>903</v>
      </c>
      <c r="D549" s="1" t="s">
        <v>3108</v>
      </c>
      <c r="E549" s="1" t="s">
        <v>3109</v>
      </c>
      <c r="F549" s="3">
        <v>1</v>
      </c>
      <c r="G549" s="8" t="s">
        <v>2771</v>
      </c>
      <c r="H549" s="8" t="s">
        <v>5160</v>
      </c>
      <c r="I549" s="3">
        <v>30</v>
      </c>
      <c r="J549" s="3" t="s">
        <v>5297</v>
      </c>
      <c r="K549" s="17" t="str">
        <f>HYPERLINK("http://ictvonline.org/taxonomyHistory.asp?taxnode_id=20170672","ICTVonline=20170672")</f>
        <v>ICTVonline=20170672</v>
      </c>
      <c r="L549" s="3">
        <v>548</v>
      </c>
    </row>
    <row r="550" spans="1:12" x14ac:dyDescent="0.15">
      <c r="A550" s="1" t="s">
        <v>1341</v>
      </c>
      <c r="B550" s="1" t="s">
        <v>903</v>
      </c>
      <c r="D550" s="1" t="s">
        <v>3110</v>
      </c>
      <c r="E550" s="1" t="s">
        <v>3111</v>
      </c>
      <c r="F550" s="3">
        <v>1</v>
      </c>
      <c r="G550" s="8" t="s">
        <v>2771</v>
      </c>
      <c r="H550" s="8" t="s">
        <v>5159</v>
      </c>
      <c r="I550" s="3">
        <v>30</v>
      </c>
      <c r="J550" s="3" t="s">
        <v>5374</v>
      </c>
      <c r="K550" s="17" t="str">
        <f>HYPERLINK("http://ictvonline.org/taxonomyHistory.asp?taxnode_id=20170674","ICTVonline=20170674")</f>
        <v>ICTVonline=20170674</v>
      </c>
      <c r="L550" s="3">
        <v>549</v>
      </c>
    </row>
    <row r="551" spans="1:12" x14ac:dyDescent="0.15">
      <c r="A551" s="1" t="s">
        <v>1341</v>
      </c>
      <c r="B551" s="1" t="s">
        <v>903</v>
      </c>
      <c r="D551" s="1" t="s">
        <v>3110</v>
      </c>
      <c r="E551" s="1" t="s">
        <v>3112</v>
      </c>
      <c r="F551" s="3">
        <v>0</v>
      </c>
      <c r="G551" s="8" t="s">
        <v>2771</v>
      </c>
      <c r="H551" s="8" t="s">
        <v>5159</v>
      </c>
      <c r="I551" s="3">
        <v>30</v>
      </c>
      <c r="J551" s="3" t="s">
        <v>5374</v>
      </c>
      <c r="K551" s="17" t="str">
        <f>HYPERLINK("http://ictvonline.org/taxonomyHistory.asp?taxnode_id=20170675","ICTVonline=20170675")</f>
        <v>ICTVonline=20170675</v>
      </c>
      <c r="L551" s="3">
        <v>550</v>
      </c>
    </row>
    <row r="552" spans="1:12" x14ac:dyDescent="0.15">
      <c r="A552" s="1" t="s">
        <v>1341</v>
      </c>
      <c r="B552" s="1" t="s">
        <v>903</v>
      </c>
      <c r="D552" s="1" t="s">
        <v>3113</v>
      </c>
      <c r="E552" s="1" t="s">
        <v>5375</v>
      </c>
      <c r="F552" s="3">
        <v>0</v>
      </c>
      <c r="G552" s="8" t="s">
        <v>2771</v>
      </c>
      <c r="H552" s="8" t="s">
        <v>5159</v>
      </c>
      <c r="I552" s="3">
        <v>32</v>
      </c>
      <c r="J552" s="3" t="s">
        <v>5376</v>
      </c>
      <c r="K552" s="17" t="str">
        <f>HYPERLINK("http://ictvonline.org/taxonomyHistory.asp?taxnode_id=20175493","ICTVonline=20175493")</f>
        <v>ICTVonline=20175493</v>
      </c>
      <c r="L552" s="3">
        <v>551</v>
      </c>
    </row>
    <row r="553" spans="1:12" x14ac:dyDescent="0.15">
      <c r="A553" s="1" t="s">
        <v>1341</v>
      </c>
      <c r="B553" s="1" t="s">
        <v>903</v>
      </c>
      <c r="D553" s="1" t="s">
        <v>3113</v>
      </c>
      <c r="E553" s="1" t="s">
        <v>3114</v>
      </c>
      <c r="F553" s="3">
        <v>0</v>
      </c>
      <c r="G553" s="8" t="s">
        <v>2771</v>
      </c>
      <c r="H553" s="8" t="s">
        <v>5160</v>
      </c>
      <c r="I553" s="3">
        <v>30</v>
      </c>
      <c r="J553" s="3" t="s">
        <v>5297</v>
      </c>
      <c r="K553" s="17" t="str">
        <f>HYPERLINK("http://ictvonline.org/taxonomyHistory.asp?taxnode_id=20170677","ICTVonline=20170677")</f>
        <v>ICTVonline=20170677</v>
      </c>
      <c r="L553" s="3">
        <v>552</v>
      </c>
    </row>
    <row r="554" spans="1:12" x14ac:dyDescent="0.15">
      <c r="A554" s="1" t="s">
        <v>1341</v>
      </c>
      <c r="B554" s="1" t="s">
        <v>903</v>
      </c>
      <c r="D554" s="1" t="s">
        <v>3113</v>
      </c>
      <c r="E554" s="1" t="s">
        <v>3115</v>
      </c>
      <c r="F554" s="3">
        <v>1</v>
      </c>
      <c r="G554" s="8" t="s">
        <v>2771</v>
      </c>
      <c r="H554" s="8" t="s">
        <v>5160</v>
      </c>
      <c r="I554" s="3">
        <v>30</v>
      </c>
      <c r="J554" s="3" t="s">
        <v>5297</v>
      </c>
      <c r="K554" s="17" t="str">
        <f>HYPERLINK("http://ictvonline.org/taxonomyHistory.asp?taxnode_id=20170678","ICTVonline=20170678")</f>
        <v>ICTVonline=20170678</v>
      </c>
      <c r="L554" s="3">
        <v>553</v>
      </c>
    </row>
    <row r="555" spans="1:12" x14ac:dyDescent="0.15">
      <c r="A555" s="1" t="s">
        <v>1341</v>
      </c>
      <c r="B555" s="1" t="s">
        <v>903</v>
      </c>
      <c r="D555" s="1" t="s">
        <v>3113</v>
      </c>
      <c r="E555" s="1" t="s">
        <v>3116</v>
      </c>
      <c r="F555" s="3">
        <v>0</v>
      </c>
      <c r="G555" s="8" t="s">
        <v>2771</v>
      </c>
      <c r="H555" s="8" t="s">
        <v>5160</v>
      </c>
      <c r="I555" s="3">
        <v>30</v>
      </c>
      <c r="J555" s="3" t="s">
        <v>5297</v>
      </c>
      <c r="K555" s="17" t="str">
        <f>HYPERLINK("http://ictvonline.org/taxonomyHistory.asp?taxnode_id=20170679","ICTVonline=20170679")</f>
        <v>ICTVonline=20170679</v>
      </c>
      <c r="L555" s="3">
        <v>554</v>
      </c>
    </row>
    <row r="556" spans="1:12" x14ac:dyDescent="0.15">
      <c r="A556" s="1" t="s">
        <v>1341</v>
      </c>
      <c r="B556" s="1" t="s">
        <v>903</v>
      </c>
      <c r="D556" s="1" t="s">
        <v>3113</v>
      </c>
      <c r="E556" s="1" t="s">
        <v>3117</v>
      </c>
      <c r="F556" s="3">
        <v>0</v>
      </c>
      <c r="G556" s="8" t="s">
        <v>2771</v>
      </c>
      <c r="H556" s="8" t="s">
        <v>5160</v>
      </c>
      <c r="I556" s="3">
        <v>30</v>
      </c>
      <c r="J556" s="3" t="s">
        <v>5297</v>
      </c>
      <c r="K556" s="17" t="str">
        <f>HYPERLINK("http://ictvonline.org/taxonomyHistory.asp?taxnode_id=20170680","ICTVonline=20170680")</f>
        <v>ICTVonline=20170680</v>
      </c>
      <c r="L556" s="3">
        <v>555</v>
      </c>
    </row>
    <row r="557" spans="1:12" x14ac:dyDescent="0.15">
      <c r="A557" s="1" t="s">
        <v>1341</v>
      </c>
      <c r="B557" s="1" t="s">
        <v>903</v>
      </c>
      <c r="D557" s="1" t="s">
        <v>3118</v>
      </c>
      <c r="E557" s="1" t="s">
        <v>3119</v>
      </c>
      <c r="F557" s="3">
        <v>1</v>
      </c>
      <c r="G557" s="8" t="s">
        <v>2771</v>
      </c>
      <c r="H557" s="8" t="s">
        <v>5159</v>
      </c>
      <c r="I557" s="3">
        <v>30</v>
      </c>
      <c r="J557" s="3" t="s">
        <v>5377</v>
      </c>
      <c r="K557" s="17" t="str">
        <f>HYPERLINK("http://ictvonline.org/taxonomyHistory.asp?taxnode_id=20170682","ICTVonline=20170682")</f>
        <v>ICTVonline=20170682</v>
      </c>
      <c r="L557" s="3">
        <v>556</v>
      </c>
    </row>
    <row r="558" spans="1:12" x14ac:dyDescent="0.15">
      <c r="A558" s="1" t="s">
        <v>1341</v>
      </c>
      <c r="B558" s="1" t="s">
        <v>903</v>
      </c>
      <c r="D558" s="1" t="s">
        <v>3118</v>
      </c>
      <c r="E558" s="1" t="s">
        <v>3120</v>
      </c>
      <c r="F558" s="3">
        <v>0</v>
      </c>
      <c r="G558" s="8" t="s">
        <v>2771</v>
      </c>
      <c r="H558" s="8" t="s">
        <v>5159</v>
      </c>
      <c r="I558" s="3">
        <v>30</v>
      </c>
      <c r="J558" s="3" t="s">
        <v>5377</v>
      </c>
      <c r="K558" s="17" t="str">
        <f>HYPERLINK("http://ictvonline.org/taxonomyHistory.asp?taxnode_id=20170683","ICTVonline=20170683")</f>
        <v>ICTVonline=20170683</v>
      </c>
      <c r="L558" s="3">
        <v>557</v>
      </c>
    </row>
    <row r="559" spans="1:12" x14ac:dyDescent="0.15">
      <c r="A559" s="1" t="s">
        <v>1341</v>
      </c>
      <c r="B559" s="1" t="s">
        <v>903</v>
      </c>
      <c r="D559" s="1" t="s">
        <v>3118</v>
      </c>
      <c r="E559" s="1" t="s">
        <v>3121</v>
      </c>
      <c r="F559" s="3">
        <v>0</v>
      </c>
      <c r="G559" s="8" t="s">
        <v>2771</v>
      </c>
      <c r="H559" s="8" t="s">
        <v>5159</v>
      </c>
      <c r="I559" s="3">
        <v>30</v>
      </c>
      <c r="J559" s="3" t="s">
        <v>5377</v>
      </c>
      <c r="K559" s="17" t="str">
        <f>HYPERLINK("http://ictvonline.org/taxonomyHistory.asp?taxnode_id=20170684","ICTVonline=20170684")</f>
        <v>ICTVonline=20170684</v>
      </c>
      <c r="L559" s="3">
        <v>558</v>
      </c>
    </row>
    <row r="560" spans="1:12" x14ac:dyDescent="0.15">
      <c r="A560" s="1" t="s">
        <v>1341</v>
      </c>
      <c r="B560" s="1" t="s">
        <v>903</v>
      </c>
      <c r="D560" s="1" t="s">
        <v>3118</v>
      </c>
      <c r="E560" s="1" t="s">
        <v>3122</v>
      </c>
      <c r="F560" s="3">
        <v>0</v>
      </c>
      <c r="G560" s="8" t="s">
        <v>2771</v>
      </c>
      <c r="H560" s="8" t="s">
        <v>5159</v>
      </c>
      <c r="I560" s="3">
        <v>30</v>
      </c>
      <c r="J560" s="3" t="s">
        <v>5377</v>
      </c>
      <c r="K560" s="17" t="str">
        <f>HYPERLINK("http://ictvonline.org/taxonomyHistory.asp?taxnode_id=20170685","ICTVonline=20170685")</f>
        <v>ICTVonline=20170685</v>
      </c>
      <c r="L560" s="3">
        <v>559</v>
      </c>
    </row>
    <row r="561" spans="1:12" x14ac:dyDescent="0.15">
      <c r="A561" s="1" t="s">
        <v>1341</v>
      </c>
      <c r="B561" s="1" t="s">
        <v>903</v>
      </c>
      <c r="D561" s="1" t="s">
        <v>3118</v>
      </c>
      <c r="E561" s="1" t="s">
        <v>3123</v>
      </c>
      <c r="F561" s="3">
        <v>0</v>
      </c>
      <c r="G561" s="8" t="s">
        <v>2771</v>
      </c>
      <c r="H561" s="8" t="s">
        <v>5159</v>
      </c>
      <c r="I561" s="3">
        <v>30</v>
      </c>
      <c r="J561" s="3" t="s">
        <v>5377</v>
      </c>
      <c r="K561" s="17" t="str">
        <f>HYPERLINK("http://ictvonline.org/taxonomyHistory.asp?taxnode_id=20170686","ICTVonline=20170686")</f>
        <v>ICTVonline=20170686</v>
      </c>
      <c r="L561" s="3">
        <v>560</v>
      </c>
    </row>
    <row r="562" spans="1:12" x14ac:dyDescent="0.15">
      <c r="A562" s="1" t="s">
        <v>1341</v>
      </c>
      <c r="B562" s="1" t="s">
        <v>903</v>
      </c>
      <c r="D562" s="1" t="s">
        <v>3124</v>
      </c>
      <c r="E562" s="1" t="s">
        <v>4503</v>
      </c>
      <c r="F562" s="3">
        <v>0</v>
      </c>
      <c r="G562" s="8" t="s">
        <v>2771</v>
      </c>
      <c r="H562" s="8" t="s">
        <v>5159</v>
      </c>
      <c r="I562" s="3">
        <v>31</v>
      </c>
      <c r="J562" s="3" t="s">
        <v>5298</v>
      </c>
      <c r="K562" s="17" t="str">
        <f>HYPERLINK("http://ictvonline.org/taxonomyHistory.asp?taxnode_id=20170688","ICTVonline=20170688")</f>
        <v>ICTVonline=20170688</v>
      </c>
      <c r="L562" s="3">
        <v>561</v>
      </c>
    </row>
    <row r="563" spans="1:12" x14ac:dyDescent="0.15">
      <c r="A563" s="1" t="s">
        <v>1341</v>
      </c>
      <c r="B563" s="1" t="s">
        <v>903</v>
      </c>
      <c r="D563" s="1" t="s">
        <v>3124</v>
      </c>
      <c r="E563" s="1" t="s">
        <v>3125</v>
      </c>
      <c r="F563" s="3">
        <v>0</v>
      </c>
      <c r="G563" s="8" t="s">
        <v>2771</v>
      </c>
      <c r="H563" s="8" t="s">
        <v>5159</v>
      </c>
      <c r="I563" s="3">
        <v>30</v>
      </c>
      <c r="J563" s="3" t="s">
        <v>5378</v>
      </c>
      <c r="K563" s="17" t="str">
        <f>HYPERLINK("http://ictvonline.org/taxonomyHistory.asp?taxnode_id=20170689","ICTVonline=20170689")</f>
        <v>ICTVonline=20170689</v>
      </c>
      <c r="L563" s="3">
        <v>562</v>
      </c>
    </row>
    <row r="564" spans="1:12" x14ac:dyDescent="0.15">
      <c r="A564" s="1" t="s">
        <v>1341</v>
      </c>
      <c r="B564" s="1" t="s">
        <v>903</v>
      </c>
      <c r="D564" s="1" t="s">
        <v>3124</v>
      </c>
      <c r="E564" s="1" t="s">
        <v>3126</v>
      </c>
      <c r="F564" s="3">
        <v>0</v>
      </c>
      <c r="G564" s="8" t="s">
        <v>2771</v>
      </c>
      <c r="H564" s="8" t="s">
        <v>5159</v>
      </c>
      <c r="I564" s="3">
        <v>30</v>
      </c>
      <c r="J564" s="3" t="s">
        <v>5378</v>
      </c>
      <c r="K564" s="17" t="str">
        <f>HYPERLINK("http://ictvonline.org/taxonomyHistory.asp?taxnode_id=20170690","ICTVonline=20170690")</f>
        <v>ICTVonline=20170690</v>
      </c>
      <c r="L564" s="3">
        <v>563</v>
      </c>
    </row>
    <row r="565" spans="1:12" x14ac:dyDescent="0.15">
      <c r="A565" s="1" t="s">
        <v>1341</v>
      </c>
      <c r="B565" s="1" t="s">
        <v>903</v>
      </c>
      <c r="D565" s="1" t="s">
        <v>3124</v>
      </c>
      <c r="E565" s="1" t="s">
        <v>3127</v>
      </c>
      <c r="F565" s="3">
        <v>1</v>
      </c>
      <c r="G565" s="8" t="s">
        <v>2771</v>
      </c>
      <c r="H565" s="8" t="s">
        <v>5160</v>
      </c>
      <c r="I565" s="3">
        <v>30</v>
      </c>
      <c r="J565" s="3" t="s">
        <v>5297</v>
      </c>
      <c r="K565" s="17" t="str">
        <f>HYPERLINK("http://ictvonline.org/taxonomyHistory.asp?taxnode_id=20170691","ICTVonline=20170691")</f>
        <v>ICTVonline=20170691</v>
      </c>
      <c r="L565" s="3">
        <v>564</v>
      </c>
    </row>
    <row r="566" spans="1:12" x14ac:dyDescent="0.15">
      <c r="A566" s="1" t="s">
        <v>1341</v>
      </c>
      <c r="B566" s="1" t="s">
        <v>903</v>
      </c>
      <c r="D566" s="1" t="s">
        <v>3124</v>
      </c>
      <c r="E566" s="1" t="s">
        <v>3128</v>
      </c>
      <c r="F566" s="3">
        <v>0</v>
      </c>
      <c r="G566" s="8" t="s">
        <v>2771</v>
      </c>
      <c r="H566" s="8" t="s">
        <v>5159</v>
      </c>
      <c r="I566" s="3">
        <v>30</v>
      </c>
      <c r="J566" s="3" t="s">
        <v>5378</v>
      </c>
      <c r="K566" s="17" t="str">
        <f>HYPERLINK("http://ictvonline.org/taxonomyHistory.asp?taxnode_id=20170692","ICTVonline=20170692")</f>
        <v>ICTVonline=20170692</v>
      </c>
      <c r="L566" s="3">
        <v>565</v>
      </c>
    </row>
    <row r="567" spans="1:12" x14ac:dyDescent="0.15">
      <c r="A567" s="1" t="s">
        <v>1341</v>
      </c>
      <c r="B567" s="1" t="s">
        <v>903</v>
      </c>
      <c r="D567" s="1" t="s">
        <v>3124</v>
      </c>
      <c r="E567" s="1" t="s">
        <v>3129</v>
      </c>
      <c r="F567" s="3">
        <v>0</v>
      </c>
      <c r="G567" s="8" t="s">
        <v>2771</v>
      </c>
      <c r="H567" s="8" t="s">
        <v>5159</v>
      </c>
      <c r="I567" s="3">
        <v>30</v>
      </c>
      <c r="J567" s="3" t="s">
        <v>5378</v>
      </c>
      <c r="K567" s="17" t="str">
        <f>HYPERLINK("http://ictvonline.org/taxonomyHistory.asp?taxnode_id=20170693","ICTVonline=20170693")</f>
        <v>ICTVonline=20170693</v>
      </c>
      <c r="L567" s="3">
        <v>566</v>
      </c>
    </row>
    <row r="568" spans="1:12" x14ac:dyDescent="0.15">
      <c r="A568" s="1" t="s">
        <v>1341</v>
      </c>
      <c r="B568" s="1" t="s">
        <v>903</v>
      </c>
      <c r="D568" s="1" t="s">
        <v>4504</v>
      </c>
      <c r="E568" s="1" t="s">
        <v>4505</v>
      </c>
      <c r="F568" s="3">
        <v>1</v>
      </c>
      <c r="G568" s="8" t="s">
        <v>2771</v>
      </c>
      <c r="H568" s="8" t="s">
        <v>5159</v>
      </c>
      <c r="I568" s="3">
        <v>31</v>
      </c>
      <c r="J568" s="3" t="s">
        <v>5379</v>
      </c>
      <c r="K568" s="17" t="str">
        <f>HYPERLINK("http://ictvonline.org/taxonomyHistory.asp?taxnode_id=20170695","ICTVonline=20170695")</f>
        <v>ICTVonline=20170695</v>
      </c>
      <c r="L568" s="3">
        <v>567</v>
      </c>
    </row>
    <row r="569" spans="1:12" x14ac:dyDescent="0.15">
      <c r="A569" s="1" t="s">
        <v>1341</v>
      </c>
      <c r="B569" s="1" t="s">
        <v>903</v>
      </c>
      <c r="D569" s="1" t="s">
        <v>4504</v>
      </c>
      <c r="E569" s="1" t="s">
        <v>4506</v>
      </c>
      <c r="F569" s="3">
        <v>0</v>
      </c>
      <c r="G569" s="8" t="s">
        <v>2771</v>
      </c>
      <c r="H569" s="8" t="s">
        <v>5159</v>
      </c>
      <c r="I569" s="3">
        <v>31</v>
      </c>
      <c r="J569" s="3" t="s">
        <v>5379</v>
      </c>
      <c r="K569" s="17" t="str">
        <f>HYPERLINK("http://ictvonline.org/taxonomyHistory.asp?taxnode_id=20170696","ICTVonline=20170696")</f>
        <v>ICTVonline=20170696</v>
      </c>
      <c r="L569" s="3">
        <v>568</v>
      </c>
    </row>
    <row r="570" spans="1:12" x14ac:dyDescent="0.15">
      <c r="A570" s="1" t="s">
        <v>1341</v>
      </c>
      <c r="B570" s="1" t="s">
        <v>903</v>
      </c>
      <c r="D570" s="1" t="s">
        <v>5380</v>
      </c>
      <c r="E570" s="1" t="s">
        <v>5381</v>
      </c>
      <c r="F570" s="3">
        <v>0</v>
      </c>
      <c r="G570" s="8" t="s">
        <v>2771</v>
      </c>
      <c r="H570" s="8" t="s">
        <v>5159</v>
      </c>
      <c r="I570" s="3">
        <v>32</v>
      </c>
      <c r="J570" s="3" t="s">
        <v>5382</v>
      </c>
      <c r="K570" s="17" t="str">
        <f>HYPERLINK("http://ictvonline.org/taxonomyHistory.asp?taxnode_id=20175494","ICTVonline=20175494")</f>
        <v>ICTVonline=20175494</v>
      </c>
      <c r="L570" s="3">
        <v>569</v>
      </c>
    </row>
    <row r="571" spans="1:12" x14ac:dyDescent="0.15">
      <c r="A571" s="1" t="s">
        <v>1341</v>
      </c>
      <c r="B571" s="1" t="s">
        <v>903</v>
      </c>
      <c r="D571" s="1" t="s">
        <v>5380</v>
      </c>
      <c r="E571" s="1" t="s">
        <v>5383</v>
      </c>
      <c r="F571" s="3">
        <v>1</v>
      </c>
      <c r="G571" s="8" t="s">
        <v>2771</v>
      </c>
      <c r="H571" s="8" t="s">
        <v>5159</v>
      </c>
      <c r="I571" s="3">
        <v>32</v>
      </c>
      <c r="J571" s="3" t="s">
        <v>5382</v>
      </c>
      <c r="K571" s="17" t="str">
        <f>HYPERLINK("http://ictvonline.org/taxonomyHistory.asp?taxnode_id=20175495","ICTVonline=20175495")</f>
        <v>ICTVonline=20175495</v>
      </c>
      <c r="L571" s="3">
        <v>570</v>
      </c>
    </row>
    <row r="572" spans="1:12" x14ac:dyDescent="0.15">
      <c r="A572" s="1" t="s">
        <v>1341</v>
      </c>
      <c r="B572" s="1" t="s">
        <v>903</v>
      </c>
      <c r="D572" s="1" t="s">
        <v>5380</v>
      </c>
      <c r="E572" s="1" t="s">
        <v>5384</v>
      </c>
      <c r="F572" s="3">
        <v>0</v>
      </c>
      <c r="G572" s="8" t="s">
        <v>2771</v>
      </c>
      <c r="H572" s="8" t="s">
        <v>5159</v>
      </c>
      <c r="I572" s="3">
        <v>32</v>
      </c>
      <c r="J572" s="3" t="s">
        <v>5382</v>
      </c>
      <c r="K572" s="17" t="str">
        <f>HYPERLINK("http://ictvonline.org/taxonomyHistory.asp?taxnode_id=20175496","ICTVonline=20175496")</f>
        <v>ICTVonline=20175496</v>
      </c>
      <c r="L572" s="3">
        <v>571</v>
      </c>
    </row>
    <row r="573" spans="1:12" x14ac:dyDescent="0.15">
      <c r="A573" s="1" t="s">
        <v>1341</v>
      </c>
      <c r="B573" s="1" t="s">
        <v>903</v>
      </c>
      <c r="D573" s="1" t="s">
        <v>4507</v>
      </c>
      <c r="E573" s="1" t="s">
        <v>4508</v>
      </c>
      <c r="F573" s="3">
        <v>1</v>
      </c>
      <c r="G573" s="8" t="s">
        <v>2771</v>
      </c>
      <c r="H573" s="8" t="s">
        <v>5159</v>
      </c>
      <c r="I573" s="3">
        <v>31</v>
      </c>
      <c r="J573" s="3" t="s">
        <v>5385</v>
      </c>
      <c r="K573" s="17" t="str">
        <f>HYPERLINK("http://ictvonline.org/taxonomyHistory.asp?taxnode_id=20170698","ICTVonline=20170698")</f>
        <v>ICTVonline=20170698</v>
      </c>
      <c r="L573" s="3">
        <v>572</v>
      </c>
    </row>
    <row r="574" spans="1:12" x14ac:dyDescent="0.15">
      <c r="A574" s="1" t="s">
        <v>1341</v>
      </c>
      <c r="B574" s="1" t="s">
        <v>903</v>
      </c>
      <c r="D574" s="1" t="s">
        <v>4507</v>
      </c>
      <c r="E574" s="1" t="s">
        <v>4509</v>
      </c>
      <c r="F574" s="3">
        <v>0</v>
      </c>
      <c r="G574" s="8" t="s">
        <v>2771</v>
      </c>
      <c r="H574" s="8" t="s">
        <v>5159</v>
      </c>
      <c r="I574" s="3">
        <v>31</v>
      </c>
      <c r="J574" s="3" t="s">
        <v>5385</v>
      </c>
      <c r="K574" s="17" t="str">
        <f>HYPERLINK("http://ictvonline.org/taxonomyHistory.asp?taxnode_id=20170699","ICTVonline=20170699")</f>
        <v>ICTVonline=20170699</v>
      </c>
      <c r="L574" s="3">
        <v>573</v>
      </c>
    </row>
    <row r="575" spans="1:12" x14ac:dyDescent="0.15">
      <c r="A575" s="1" t="s">
        <v>1341</v>
      </c>
      <c r="B575" s="1" t="s">
        <v>903</v>
      </c>
      <c r="D575" s="1" t="s">
        <v>4507</v>
      </c>
      <c r="E575" s="1" t="s">
        <v>4510</v>
      </c>
      <c r="F575" s="3">
        <v>0</v>
      </c>
      <c r="G575" s="8" t="s">
        <v>2771</v>
      </c>
      <c r="H575" s="8" t="s">
        <v>5159</v>
      </c>
      <c r="I575" s="3">
        <v>31</v>
      </c>
      <c r="J575" s="3" t="s">
        <v>5385</v>
      </c>
      <c r="K575" s="17" t="str">
        <f>HYPERLINK("http://ictvonline.org/taxonomyHistory.asp?taxnode_id=20170700","ICTVonline=20170700")</f>
        <v>ICTVonline=20170700</v>
      </c>
      <c r="L575" s="3">
        <v>574</v>
      </c>
    </row>
    <row r="576" spans="1:12" x14ac:dyDescent="0.15">
      <c r="A576" s="1" t="s">
        <v>1341</v>
      </c>
      <c r="B576" s="1" t="s">
        <v>903</v>
      </c>
      <c r="D576" s="1" t="s">
        <v>908</v>
      </c>
      <c r="E576" s="1" t="s">
        <v>3130</v>
      </c>
      <c r="F576" s="3">
        <v>0</v>
      </c>
      <c r="G576" s="8" t="s">
        <v>2771</v>
      </c>
      <c r="H576" s="8" t="s">
        <v>5162</v>
      </c>
      <c r="I576" s="3">
        <v>30</v>
      </c>
      <c r="J576" s="3" t="s">
        <v>5297</v>
      </c>
      <c r="K576" s="17" t="str">
        <f>HYPERLINK("http://ictvonline.org/taxonomyHistory.asp?taxnode_id=20170702","ICTVonline=20170702")</f>
        <v>ICTVonline=20170702</v>
      </c>
      <c r="L576" s="3">
        <v>575</v>
      </c>
    </row>
    <row r="577" spans="1:12" x14ac:dyDescent="0.15">
      <c r="A577" s="1" t="s">
        <v>1341</v>
      </c>
      <c r="B577" s="1" t="s">
        <v>903</v>
      </c>
      <c r="D577" s="1" t="s">
        <v>908</v>
      </c>
      <c r="E577" s="1" t="s">
        <v>3131</v>
      </c>
      <c r="F577" s="3">
        <v>0</v>
      </c>
      <c r="G577" s="8" t="s">
        <v>2771</v>
      </c>
      <c r="H577" s="8" t="s">
        <v>5162</v>
      </c>
      <c r="I577" s="3">
        <v>30</v>
      </c>
      <c r="J577" s="3" t="s">
        <v>5297</v>
      </c>
      <c r="K577" s="17" t="str">
        <f>HYPERLINK("http://ictvonline.org/taxonomyHistory.asp?taxnode_id=20170703","ICTVonline=20170703")</f>
        <v>ICTVonline=20170703</v>
      </c>
      <c r="L577" s="3">
        <v>576</v>
      </c>
    </row>
    <row r="578" spans="1:12" x14ac:dyDescent="0.15">
      <c r="A578" s="1" t="s">
        <v>1341</v>
      </c>
      <c r="B578" s="1" t="s">
        <v>903</v>
      </c>
      <c r="D578" s="1" t="s">
        <v>908</v>
      </c>
      <c r="E578" s="1" t="s">
        <v>3132</v>
      </c>
      <c r="F578" s="3">
        <v>0</v>
      </c>
      <c r="G578" s="8" t="s">
        <v>2771</v>
      </c>
      <c r="H578" s="8" t="s">
        <v>5162</v>
      </c>
      <c r="I578" s="3">
        <v>30</v>
      </c>
      <c r="J578" s="3" t="s">
        <v>5297</v>
      </c>
      <c r="K578" s="17" t="str">
        <f>HYPERLINK("http://ictvonline.org/taxonomyHistory.asp?taxnode_id=20170704","ICTVonline=20170704")</f>
        <v>ICTVonline=20170704</v>
      </c>
      <c r="L578" s="3">
        <v>577</v>
      </c>
    </row>
    <row r="579" spans="1:12" x14ac:dyDescent="0.15">
      <c r="A579" s="1" t="s">
        <v>1341</v>
      </c>
      <c r="B579" s="1" t="s">
        <v>903</v>
      </c>
      <c r="D579" s="1" t="s">
        <v>908</v>
      </c>
      <c r="E579" s="1" t="s">
        <v>3133</v>
      </c>
      <c r="F579" s="3">
        <v>0</v>
      </c>
      <c r="G579" s="8" t="s">
        <v>2771</v>
      </c>
      <c r="H579" s="8" t="s">
        <v>5162</v>
      </c>
      <c r="I579" s="3">
        <v>30</v>
      </c>
      <c r="J579" s="3" t="s">
        <v>5297</v>
      </c>
      <c r="K579" s="17" t="str">
        <f>HYPERLINK("http://ictvonline.org/taxonomyHistory.asp?taxnode_id=20170705","ICTVonline=20170705")</f>
        <v>ICTVonline=20170705</v>
      </c>
      <c r="L579" s="3">
        <v>578</v>
      </c>
    </row>
    <row r="580" spans="1:12" x14ac:dyDescent="0.15">
      <c r="A580" s="1" t="s">
        <v>1341</v>
      </c>
      <c r="B580" s="1" t="s">
        <v>903</v>
      </c>
      <c r="D580" s="1" t="s">
        <v>908</v>
      </c>
      <c r="E580" s="1" t="s">
        <v>3134</v>
      </c>
      <c r="F580" s="3">
        <v>0</v>
      </c>
      <c r="G580" s="8" t="s">
        <v>2771</v>
      </c>
      <c r="H580" s="8" t="s">
        <v>5162</v>
      </c>
      <c r="I580" s="3">
        <v>30</v>
      </c>
      <c r="J580" s="3" t="s">
        <v>5297</v>
      </c>
      <c r="K580" s="17" t="str">
        <f>HYPERLINK("http://ictvonline.org/taxonomyHistory.asp?taxnode_id=20170706","ICTVonline=20170706")</f>
        <v>ICTVonline=20170706</v>
      </c>
      <c r="L580" s="3">
        <v>579</v>
      </c>
    </row>
    <row r="581" spans="1:12" x14ac:dyDescent="0.15">
      <c r="A581" s="1" t="s">
        <v>1341</v>
      </c>
      <c r="B581" s="1" t="s">
        <v>903</v>
      </c>
      <c r="D581" s="1" t="s">
        <v>908</v>
      </c>
      <c r="E581" s="1" t="s">
        <v>3135</v>
      </c>
      <c r="F581" s="3">
        <v>0</v>
      </c>
      <c r="G581" s="8" t="s">
        <v>2771</v>
      </c>
      <c r="H581" s="8" t="s">
        <v>5162</v>
      </c>
      <c r="I581" s="3">
        <v>30</v>
      </c>
      <c r="J581" s="3" t="s">
        <v>5297</v>
      </c>
      <c r="K581" s="17" t="str">
        <f>HYPERLINK("http://ictvonline.org/taxonomyHistory.asp?taxnode_id=20170707","ICTVonline=20170707")</f>
        <v>ICTVonline=20170707</v>
      </c>
      <c r="L581" s="3">
        <v>580</v>
      </c>
    </row>
    <row r="582" spans="1:12" x14ac:dyDescent="0.15">
      <c r="A582" s="1" t="s">
        <v>1341</v>
      </c>
      <c r="B582" s="1" t="s">
        <v>903</v>
      </c>
      <c r="D582" s="1" t="s">
        <v>908</v>
      </c>
      <c r="E582" s="1" t="s">
        <v>3136</v>
      </c>
      <c r="F582" s="3">
        <v>0</v>
      </c>
      <c r="G582" s="8" t="s">
        <v>2771</v>
      </c>
      <c r="H582" s="8" t="s">
        <v>5162</v>
      </c>
      <c r="I582" s="3">
        <v>30</v>
      </c>
      <c r="J582" s="3" t="s">
        <v>5297</v>
      </c>
      <c r="K582" s="17" t="str">
        <f>HYPERLINK("http://ictvonline.org/taxonomyHistory.asp?taxnode_id=20170708","ICTVonline=20170708")</f>
        <v>ICTVonline=20170708</v>
      </c>
      <c r="L582" s="3">
        <v>581</v>
      </c>
    </row>
    <row r="583" spans="1:12" x14ac:dyDescent="0.15">
      <c r="A583" s="1" t="s">
        <v>1341</v>
      </c>
      <c r="B583" s="1" t="s">
        <v>903</v>
      </c>
      <c r="D583" s="1" t="s">
        <v>3137</v>
      </c>
      <c r="E583" s="1" t="s">
        <v>3138</v>
      </c>
      <c r="F583" s="3">
        <v>0</v>
      </c>
      <c r="G583" s="8" t="s">
        <v>2771</v>
      </c>
      <c r="H583" s="8" t="s">
        <v>5159</v>
      </c>
      <c r="I583" s="3">
        <v>30</v>
      </c>
      <c r="J583" s="3" t="s">
        <v>5386</v>
      </c>
      <c r="K583" s="17" t="str">
        <f>HYPERLINK("http://ictvonline.org/taxonomyHistory.asp?taxnode_id=20170710","ICTVonline=20170710")</f>
        <v>ICTVonline=20170710</v>
      </c>
      <c r="L583" s="3">
        <v>582</v>
      </c>
    </row>
    <row r="584" spans="1:12" x14ac:dyDescent="0.15">
      <c r="A584" s="1" t="s">
        <v>1341</v>
      </c>
      <c r="B584" s="1" t="s">
        <v>903</v>
      </c>
      <c r="D584" s="1" t="s">
        <v>3137</v>
      </c>
      <c r="E584" s="1" t="s">
        <v>3139</v>
      </c>
      <c r="F584" s="3">
        <v>0</v>
      </c>
      <c r="G584" s="8" t="s">
        <v>2771</v>
      </c>
      <c r="H584" s="8" t="s">
        <v>5159</v>
      </c>
      <c r="I584" s="3">
        <v>30</v>
      </c>
      <c r="J584" s="3" t="s">
        <v>5386</v>
      </c>
      <c r="K584" s="17" t="str">
        <f>HYPERLINK("http://ictvonline.org/taxonomyHistory.asp?taxnode_id=20170711","ICTVonline=20170711")</f>
        <v>ICTVonline=20170711</v>
      </c>
      <c r="L584" s="3">
        <v>583</v>
      </c>
    </row>
    <row r="585" spans="1:12" x14ac:dyDescent="0.15">
      <c r="A585" s="1" t="s">
        <v>1341</v>
      </c>
      <c r="B585" s="1" t="s">
        <v>903</v>
      </c>
      <c r="D585" s="1" t="s">
        <v>3137</v>
      </c>
      <c r="E585" s="1" t="s">
        <v>3140</v>
      </c>
      <c r="F585" s="3">
        <v>1</v>
      </c>
      <c r="G585" s="8" t="s">
        <v>2771</v>
      </c>
      <c r="H585" s="8" t="s">
        <v>5159</v>
      </c>
      <c r="I585" s="3">
        <v>30</v>
      </c>
      <c r="J585" s="3" t="s">
        <v>5386</v>
      </c>
      <c r="K585" s="17" t="str">
        <f>HYPERLINK("http://ictvonline.org/taxonomyHistory.asp?taxnode_id=20170712","ICTVonline=20170712")</f>
        <v>ICTVonline=20170712</v>
      </c>
      <c r="L585" s="3">
        <v>584</v>
      </c>
    </row>
    <row r="586" spans="1:12" x14ac:dyDescent="0.15">
      <c r="A586" s="1" t="s">
        <v>1341</v>
      </c>
      <c r="B586" s="1" t="s">
        <v>904</v>
      </c>
      <c r="C586" s="1" t="s">
        <v>4511</v>
      </c>
      <c r="D586" s="1" t="s">
        <v>4512</v>
      </c>
      <c r="E586" s="1" t="s">
        <v>4513</v>
      </c>
      <c r="F586" s="3">
        <v>0</v>
      </c>
      <c r="G586" s="8" t="s">
        <v>2771</v>
      </c>
      <c r="H586" s="8" t="s">
        <v>5159</v>
      </c>
      <c r="I586" s="3">
        <v>31</v>
      </c>
      <c r="J586" s="3" t="s">
        <v>5387</v>
      </c>
      <c r="K586" s="17" t="str">
        <f>HYPERLINK("http://ictvonline.org/taxonomyHistory.asp?taxnode_id=20170716","ICTVonline=20170716")</f>
        <v>ICTVonline=20170716</v>
      </c>
      <c r="L586" s="3">
        <v>585</v>
      </c>
    </row>
    <row r="587" spans="1:12" x14ac:dyDescent="0.15">
      <c r="A587" s="1" t="s">
        <v>1341</v>
      </c>
      <c r="B587" s="1" t="s">
        <v>904</v>
      </c>
      <c r="C587" s="1" t="s">
        <v>4511</v>
      </c>
      <c r="D587" s="1" t="s">
        <v>4512</v>
      </c>
      <c r="E587" s="1" t="s">
        <v>4514</v>
      </c>
      <c r="F587" s="3">
        <v>1</v>
      </c>
      <c r="G587" s="8" t="s">
        <v>2771</v>
      </c>
      <c r="H587" s="8" t="s">
        <v>5159</v>
      </c>
      <c r="I587" s="3">
        <v>31</v>
      </c>
      <c r="J587" s="3" t="s">
        <v>5387</v>
      </c>
      <c r="K587" s="17" t="str">
        <f>HYPERLINK("http://ictvonline.org/taxonomyHistory.asp?taxnode_id=20170717","ICTVonline=20170717")</f>
        <v>ICTVonline=20170717</v>
      </c>
      <c r="L587" s="3">
        <v>586</v>
      </c>
    </row>
    <row r="588" spans="1:12" x14ac:dyDescent="0.15">
      <c r="A588" s="1" t="s">
        <v>1341</v>
      </c>
      <c r="B588" s="1" t="s">
        <v>904</v>
      </c>
      <c r="C588" s="1" t="s">
        <v>4511</v>
      </c>
      <c r="D588" s="1" t="s">
        <v>4515</v>
      </c>
      <c r="E588" s="1" t="s">
        <v>4516</v>
      </c>
      <c r="F588" s="3">
        <v>0</v>
      </c>
      <c r="G588" s="8" t="s">
        <v>2771</v>
      </c>
      <c r="H588" s="8" t="s">
        <v>5159</v>
      </c>
      <c r="I588" s="3">
        <v>31</v>
      </c>
      <c r="J588" s="3" t="s">
        <v>5387</v>
      </c>
      <c r="K588" s="17" t="str">
        <f>HYPERLINK("http://ictvonline.org/taxonomyHistory.asp?taxnode_id=20170719","ICTVonline=20170719")</f>
        <v>ICTVonline=20170719</v>
      </c>
      <c r="L588" s="3">
        <v>587</v>
      </c>
    </row>
    <row r="589" spans="1:12" x14ac:dyDescent="0.15">
      <c r="A589" s="1" t="s">
        <v>1341</v>
      </c>
      <c r="B589" s="1" t="s">
        <v>904</v>
      </c>
      <c r="C589" s="1" t="s">
        <v>4511</v>
      </c>
      <c r="D589" s="1" t="s">
        <v>4515</v>
      </c>
      <c r="E589" s="1" t="s">
        <v>4517</v>
      </c>
      <c r="F589" s="3">
        <v>0</v>
      </c>
      <c r="G589" s="8" t="s">
        <v>2771</v>
      </c>
      <c r="H589" s="8" t="s">
        <v>5159</v>
      </c>
      <c r="I589" s="3">
        <v>31</v>
      </c>
      <c r="J589" s="3" t="s">
        <v>5387</v>
      </c>
      <c r="K589" s="17" t="str">
        <f>HYPERLINK("http://ictvonline.org/taxonomyHistory.asp?taxnode_id=20170720","ICTVonline=20170720")</f>
        <v>ICTVonline=20170720</v>
      </c>
      <c r="L589" s="3">
        <v>588</v>
      </c>
    </row>
    <row r="590" spans="1:12" x14ac:dyDescent="0.15">
      <c r="A590" s="1" t="s">
        <v>1341</v>
      </c>
      <c r="B590" s="1" t="s">
        <v>904</v>
      </c>
      <c r="C590" s="1" t="s">
        <v>4511</v>
      </c>
      <c r="D590" s="1" t="s">
        <v>4515</v>
      </c>
      <c r="E590" s="1" t="s">
        <v>4518</v>
      </c>
      <c r="F590" s="3">
        <v>0</v>
      </c>
      <c r="G590" s="8" t="s">
        <v>2771</v>
      </c>
      <c r="H590" s="8" t="s">
        <v>5159</v>
      </c>
      <c r="I590" s="3">
        <v>31</v>
      </c>
      <c r="J590" s="3" t="s">
        <v>5387</v>
      </c>
      <c r="K590" s="17" t="str">
        <f>HYPERLINK("http://ictvonline.org/taxonomyHistory.asp?taxnode_id=20170721","ICTVonline=20170721")</f>
        <v>ICTVonline=20170721</v>
      </c>
      <c r="L590" s="3">
        <v>589</v>
      </c>
    </row>
    <row r="591" spans="1:12" x14ac:dyDescent="0.15">
      <c r="A591" s="1" t="s">
        <v>1341</v>
      </c>
      <c r="B591" s="1" t="s">
        <v>904</v>
      </c>
      <c r="C591" s="1" t="s">
        <v>4511</v>
      </c>
      <c r="D591" s="1" t="s">
        <v>4515</v>
      </c>
      <c r="E591" s="1" t="s">
        <v>4519</v>
      </c>
      <c r="F591" s="3">
        <v>0</v>
      </c>
      <c r="G591" s="8" t="s">
        <v>2771</v>
      </c>
      <c r="H591" s="8" t="s">
        <v>5159</v>
      </c>
      <c r="I591" s="3">
        <v>31</v>
      </c>
      <c r="J591" s="3" t="s">
        <v>5387</v>
      </c>
      <c r="K591" s="17" t="str">
        <f>HYPERLINK("http://ictvonline.org/taxonomyHistory.asp?taxnode_id=20170722","ICTVonline=20170722")</f>
        <v>ICTVonline=20170722</v>
      </c>
      <c r="L591" s="3">
        <v>590</v>
      </c>
    </row>
    <row r="592" spans="1:12" x14ac:dyDescent="0.15">
      <c r="A592" s="1" t="s">
        <v>1341</v>
      </c>
      <c r="B592" s="1" t="s">
        <v>904</v>
      </c>
      <c r="C592" s="1" t="s">
        <v>4511</v>
      </c>
      <c r="D592" s="1" t="s">
        <v>4515</v>
      </c>
      <c r="E592" s="1" t="s">
        <v>4520</v>
      </c>
      <c r="F592" s="3">
        <v>0</v>
      </c>
      <c r="G592" s="8" t="s">
        <v>2771</v>
      </c>
      <c r="H592" s="8" t="s">
        <v>5159</v>
      </c>
      <c r="I592" s="3">
        <v>31</v>
      </c>
      <c r="J592" s="3" t="s">
        <v>5387</v>
      </c>
      <c r="K592" s="17" t="str">
        <f>HYPERLINK("http://ictvonline.org/taxonomyHistory.asp?taxnode_id=20170723","ICTVonline=20170723")</f>
        <v>ICTVonline=20170723</v>
      </c>
      <c r="L592" s="3">
        <v>591</v>
      </c>
    </row>
    <row r="593" spans="1:12" x14ac:dyDescent="0.15">
      <c r="A593" s="1" t="s">
        <v>1341</v>
      </c>
      <c r="B593" s="1" t="s">
        <v>904</v>
      </c>
      <c r="C593" s="1" t="s">
        <v>4511</v>
      </c>
      <c r="D593" s="1" t="s">
        <v>4515</v>
      </c>
      <c r="E593" s="1" t="s">
        <v>4521</v>
      </c>
      <c r="F593" s="3">
        <v>0</v>
      </c>
      <c r="G593" s="8" t="s">
        <v>2771</v>
      </c>
      <c r="H593" s="8" t="s">
        <v>5159</v>
      </c>
      <c r="I593" s="3">
        <v>31</v>
      </c>
      <c r="J593" s="3" t="s">
        <v>5387</v>
      </c>
      <c r="K593" s="17" t="str">
        <f>HYPERLINK("http://ictvonline.org/taxonomyHistory.asp?taxnode_id=20170724","ICTVonline=20170724")</f>
        <v>ICTVonline=20170724</v>
      </c>
      <c r="L593" s="3">
        <v>592</v>
      </c>
    </row>
    <row r="594" spans="1:12" x14ac:dyDescent="0.15">
      <c r="A594" s="1" t="s">
        <v>1341</v>
      </c>
      <c r="B594" s="1" t="s">
        <v>904</v>
      </c>
      <c r="C594" s="1" t="s">
        <v>4511</v>
      </c>
      <c r="D594" s="1" t="s">
        <v>4515</v>
      </c>
      <c r="E594" s="1" t="s">
        <v>4522</v>
      </c>
      <c r="F594" s="3">
        <v>1</v>
      </c>
      <c r="G594" s="8" t="s">
        <v>2771</v>
      </c>
      <c r="H594" s="8" t="s">
        <v>5159</v>
      </c>
      <c r="I594" s="3">
        <v>31</v>
      </c>
      <c r="J594" s="3" t="s">
        <v>5387</v>
      </c>
      <c r="K594" s="17" t="str">
        <f>HYPERLINK("http://ictvonline.org/taxonomyHistory.asp?taxnode_id=20170725","ICTVonline=20170725")</f>
        <v>ICTVonline=20170725</v>
      </c>
      <c r="L594" s="3">
        <v>593</v>
      </c>
    </row>
    <row r="595" spans="1:12" x14ac:dyDescent="0.15">
      <c r="A595" s="1" t="s">
        <v>1341</v>
      </c>
      <c r="B595" s="1" t="s">
        <v>904</v>
      </c>
      <c r="C595" s="1" t="s">
        <v>4511</v>
      </c>
      <c r="D595" s="1" t="s">
        <v>4515</v>
      </c>
      <c r="E595" s="1" t="s">
        <v>4523</v>
      </c>
      <c r="F595" s="3">
        <v>0</v>
      </c>
      <c r="G595" s="8" t="s">
        <v>2771</v>
      </c>
      <c r="H595" s="8" t="s">
        <v>5159</v>
      </c>
      <c r="I595" s="3">
        <v>31</v>
      </c>
      <c r="J595" s="3" t="s">
        <v>5387</v>
      </c>
      <c r="K595" s="17" t="str">
        <f>HYPERLINK("http://ictvonline.org/taxonomyHistory.asp?taxnode_id=20170726","ICTVonline=20170726")</f>
        <v>ICTVonline=20170726</v>
      </c>
      <c r="L595" s="3">
        <v>594</v>
      </c>
    </row>
    <row r="596" spans="1:12" x14ac:dyDescent="0.15">
      <c r="A596" s="1" t="s">
        <v>1341</v>
      </c>
      <c r="B596" s="1" t="s">
        <v>904</v>
      </c>
      <c r="C596" s="1" t="s">
        <v>4511</v>
      </c>
      <c r="D596" s="1" t="s">
        <v>4515</v>
      </c>
      <c r="E596" s="1" t="s">
        <v>4524</v>
      </c>
      <c r="F596" s="3">
        <v>0</v>
      </c>
      <c r="G596" s="8" t="s">
        <v>2771</v>
      </c>
      <c r="H596" s="8" t="s">
        <v>5159</v>
      </c>
      <c r="I596" s="3">
        <v>31</v>
      </c>
      <c r="J596" s="3" t="s">
        <v>5387</v>
      </c>
      <c r="K596" s="17" t="str">
        <f>HYPERLINK("http://ictvonline.org/taxonomyHistory.asp?taxnode_id=20170727","ICTVonline=20170727")</f>
        <v>ICTVonline=20170727</v>
      </c>
      <c r="L596" s="3">
        <v>595</v>
      </c>
    </row>
    <row r="597" spans="1:12" x14ac:dyDescent="0.15">
      <c r="A597" s="1" t="s">
        <v>1341</v>
      </c>
      <c r="B597" s="1" t="s">
        <v>904</v>
      </c>
      <c r="C597" s="1" t="s">
        <v>4511</v>
      </c>
      <c r="D597" s="1" t="s">
        <v>4525</v>
      </c>
      <c r="E597" s="1" t="s">
        <v>4526</v>
      </c>
      <c r="F597" s="3">
        <v>0</v>
      </c>
      <c r="G597" s="8" t="s">
        <v>2771</v>
      </c>
      <c r="H597" s="8" t="s">
        <v>5159</v>
      </c>
      <c r="I597" s="3">
        <v>31</v>
      </c>
      <c r="J597" s="3" t="s">
        <v>5387</v>
      </c>
      <c r="K597" s="17" t="str">
        <f>HYPERLINK("http://ictvonline.org/taxonomyHistory.asp?taxnode_id=20170729","ICTVonline=20170729")</f>
        <v>ICTVonline=20170729</v>
      </c>
      <c r="L597" s="3">
        <v>596</v>
      </c>
    </row>
    <row r="598" spans="1:12" x14ac:dyDescent="0.15">
      <c r="A598" s="1" t="s">
        <v>1341</v>
      </c>
      <c r="B598" s="1" t="s">
        <v>904</v>
      </c>
      <c r="C598" s="1" t="s">
        <v>4511</v>
      </c>
      <c r="D598" s="1" t="s">
        <v>4525</v>
      </c>
      <c r="E598" s="1" t="s">
        <v>4527</v>
      </c>
      <c r="F598" s="3">
        <v>1</v>
      </c>
      <c r="G598" s="8" t="s">
        <v>2771</v>
      </c>
      <c r="H598" s="8" t="s">
        <v>5159</v>
      </c>
      <c r="I598" s="3">
        <v>31</v>
      </c>
      <c r="J598" s="3" t="s">
        <v>5387</v>
      </c>
      <c r="K598" s="17" t="str">
        <f>HYPERLINK("http://ictvonline.org/taxonomyHistory.asp?taxnode_id=20170730","ICTVonline=20170730")</f>
        <v>ICTVonline=20170730</v>
      </c>
      <c r="L598" s="3">
        <v>597</v>
      </c>
    </row>
    <row r="599" spans="1:12" x14ac:dyDescent="0.15">
      <c r="A599" s="1" t="s">
        <v>1341</v>
      </c>
      <c r="B599" s="1" t="s">
        <v>904</v>
      </c>
      <c r="C599" s="1" t="s">
        <v>4511</v>
      </c>
      <c r="D599" s="1" t="s">
        <v>908</v>
      </c>
      <c r="E599" s="1" t="s">
        <v>4528</v>
      </c>
      <c r="F599" s="3">
        <v>0</v>
      </c>
      <c r="G599" s="8" t="s">
        <v>2771</v>
      </c>
      <c r="H599" s="8" t="s">
        <v>5159</v>
      </c>
      <c r="I599" s="3">
        <v>31</v>
      </c>
      <c r="J599" s="3" t="s">
        <v>5387</v>
      </c>
      <c r="K599" s="17" t="str">
        <f>HYPERLINK("http://ictvonline.org/taxonomyHistory.asp?taxnode_id=20170732","ICTVonline=20170732")</f>
        <v>ICTVonline=20170732</v>
      </c>
      <c r="L599" s="3">
        <v>598</v>
      </c>
    </row>
    <row r="600" spans="1:12" x14ac:dyDescent="0.15">
      <c r="A600" s="1" t="s">
        <v>1341</v>
      </c>
      <c r="B600" s="1" t="s">
        <v>904</v>
      </c>
      <c r="C600" s="1" t="s">
        <v>4282</v>
      </c>
      <c r="D600" s="1" t="s">
        <v>4283</v>
      </c>
      <c r="E600" s="1" t="s">
        <v>3401</v>
      </c>
      <c r="F600" s="3">
        <v>1</v>
      </c>
      <c r="G600" s="8" t="s">
        <v>2771</v>
      </c>
      <c r="H600" s="8" t="s">
        <v>5161</v>
      </c>
      <c r="I600" s="3">
        <v>31</v>
      </c>
      <c r="J600" s="3" t="s">
        <v>5388</v>
      </c>
      <c r="K600" s="17" t="str">
        <f>HYPERLINK("http://ictvonline.org/taxonomyHistory.asp?taxnode_id=20170735","ICTVonline=20170735")</f>
        <v>ICTVonline=20170735</v>
      </c>
      <c r="L600" s="3">
        <v>599</v>
      </c>
    </row>
    <row r="601" spans="1:12" x14ac:dyDescent="0.15">
      <c r="A601" s="1" t="s">
        <v>1341</v>
      </c>
      <c r="B601" s="1" t="s">
        <v>904</v>
      </c>
      <c r="C601" s="1" t="s">
        <v>4282</v>
      </c>
      <c r="D601" s="1" t="s">
        <v>4283</v>
      </c>
      <c r="E601" s="1" t="s">
        <v>4529</v>
      </c>
      <c r="F601" s="3">
        <v>0</v>
      </c>
      <c r="G601" s="8" t="s">
        <v>2771</v>
      </c>
      <c r="H601" s="8" t="s">
        <v>5159</v>
      </c>
      <c r="I601" s="3">
        <v>31</v>
      </c>
      <c r="J601" s="3" t="s">
        <v>5388</v>
      </c>
      <c r="K601" s="17" t="str">
        <f>HYPERLINK("http://ictvonline.org/taxonomyHistory.asp?taxnode_id=20170736","ICTVonline=20170736")</f>
        <v>ICTVonline=20170736</v>
      </c>
      <c r="L601" s="3">
        <v>600</v>
      </c>
    </row>
    <row r="602" spans="1:12" x14ac:dyDescent="0.15">
      <c r="A602" s="1" t="s">
        <v>1341</v>
      </c>
      <c r="B602" s="1" t="s">
        <v>904</v>
      </c>
      <c r="C602" s="1" t="s">
        <v>4282</v>
      </c>
      <c r="D602" s="1" t="s">
        <v>4283</v>
      </c>
      <c r="E602" s="1" t="s">
        <v>4530</v>
      </c>
      <c r="F602" s="3">
        <v>0</v>
      </c>
      <c r="G602" s="8" t="s">
        <v>2771</v>
      </c>
      <c r="H602" s="8" t="s">
        <v>5159</v>
      </c>
      <c r="I602" s="3">
        <v>31</v>
      </c>
      <c r="J602" s="3" t="s">
        <v>5388</v>
      </c>
      <c r="K602" s="17" t="str">
        <f>HYPERLINK("http://ictvonline.org/taxonomyHistory.asp?taxnode_id=20170737","ICTVonline=20170737")</f>
        <v>ICTVonline=20170737</v>
      </c>
      <c r="L602" s="3">
        <v>601</v>
      </c>
    </row>
    <row r="603" spans="1:12" x14ac:dyDescent="0.15">
      <c r="A603" s="1" t="s">
        <v>1341</v>
      </c>
      <c r="B603" s="1" t="s">
        <v>904</v>
      </c>
      <c r="C603" s="1" t="s">
        <v>4282</v>
      </c>
      <c r="D603" s="1" t="s">
        <v>4284</v>
      </c>
      <c r="E603" s="1" t="s">
        <v>4531</v>
      </c>
      <c r="F603" s="3">
        <v>0</v>
      </c>
      <c r="G603" s="8" t="s">
        <v>2771</v>
      </c>
      <c r="H603" s="8" t="s">
        <v>5159</v>
      </c>
      <c r="I603" s="3">
        <v>31</v>
      </c>
      <c r="J603" s="3" t="s">
        <v>5388</v>
      </c>
      <c r="K603" s="17" t="str">
        <f>HYPERLINK("http://ictvonline.org/taxonomyHistory.asp?taxnode_id=20170739","ICTVonline=20170739")</f>
        <v>ICTVonline=20170739</v>
      </c>
      <c r="L603" s="3">
        <v>602</v>
      </c>
    </row>
    <row r="604" spans="1:12" x14ac:dyDescent="0.15">
      <c r="A604" s="1" t="s">
        <v>1341</v>
      </c>
      <c r="B604" s="1" t="s">
        <v>904</v>
      </c>
      <c r="C604" s="1" t="s">
        <v>4282</v>
      </c>
      <c r="D604" s="1" t="s">
        <v>4284</v>
      </c>
      <c r="E604" s="1" t="s">
        <v>4532</v>
      </c>
      <c r="F604" s="3">
        <v>0</v>
      </c>
      <c r="G604" s="8" t="s">
        <v>2771</v>
      </c>
      <c r="H604" s="8" t="s">
        <v>5159</v>
      </c>
      <c r="I604" s="3">
        <v>31</v>
      </c>
      <c r="J604" s="3" t="s">
        <v>5388</v>
      </c>
      <c r="K604" s="17" t="str">
        <f>HYPERLINK("http://ictvonline.org/taxonomyHistory.asp?taxnode_id=20170740","ICTVonline=20170740")</f>
        <v>ICTVonline=20170740</v>
      </c>
      <c r="L604" s="3">
        <v>603</v>
      </c>
    </row>
    <row r="605" spans="1:12" x14ac:dyDescent="0.15">
      <c r="A605" s="1" t="s">
        <v>1341</v>
      </c>
      <c r="B605" s="1" t="s">
        <v>904</v>
      </c>
      <c r="C605" s="1" t="s">
        <v>4282</v>
      </c>
      <c r="D605" s="1" t="s">
        <v>4284</v>
      </c>
      <c r="E605" s="1" t="s">
        <v>4533</v>
      </c>
      <c r="F605" s="3">
        <v>0</v>
      </c>
      <c r="G605" s="8" t="s">
        <v>2771</v>
      </c>
      <c r="H605" s="8" t="s">
        <v>5159</v>
      </c>
      <c r="I605" s="3">
        <v>31</v>
      </c>
      <c r="J605" s="3" t="s">
        <v>5388</v>
      </c>
      <c r="K605" s="17" t="str">
        <f>HYPERLINK("http://ictvonline.org/taxonomyHistory.asp?taxnode_id=20170741","ICTVonline=20170741")</f>
        <v>ICTVonline=20170741</v>
      </c>
      <c r="L605" s="3">
        <v>604</v>
      </c>
    </row>
    <row r="606" spans="1:12" x14ac:dyDescent="0.15">
      <c r="A606" s="1" t="s">
        <v>1341</v>
      </c>
      <c r="B606" s="1" t="s">
        <v>904</v>
      </c>
      <c r="C606" s="1" t="s">
        <v>4282</v>
      </c>
      <c r="D606" s="1" t="s">
        <v>4284</v>
      </c>
      <c r="E606" s="1" t="s">
        <v>3403</v>
      </c>
      <c r="F606" s="3">
        <v>0</v>
      </c>
      <c r="G606" s="8" t="s">
        <v>2771</v>
      </c>
      <c r="H606" s="8" t="s">
        <v>5161</v>
      </c>
      <c r="I606" s="3">
        <v>31</v>
      </c>
      <c r="J606" s="3" t="s">
        <v>5388</v>
      </c>
      <c r="K606" s="17" t="str">
        <f>HYPERLINK("http://ictvonline.org/taxonomyHistory.asp?taxnode_id=20170742","ICTVonline=20170742")</f>
        <v>ICTVonline=20170742</v>
      </c>
      <c r="L606" s="3">
        <v>605</v>
      </c>
    </row>
    <row r="607" spans="1:12" x14ac:dyDescent="0.15">
      <c r="A607" s="1" t="s">
        <v>1341</v>
      </c>
      <c r="B607" s="1" t="s">
        <v>904</v>
      </c>
      <c r="C607" s="1" t="s">
        <v>4282</v>
      </c>
      <c r="D607" s="1" t="s">
        <v>4284</v>
      </c>
      <c r="E607" s="1" t="s">
        <v>3404</v>
      </c>
      <c r="F607" s="3">
        <v>1</v>
      </c>
      <c r="G607" s="8" t="s">
        <v>2771</v>
      </c>
      <c r="H607" s="8" t="s">
        <v>5161</v>
      </c>
      <c r="I607" s="3">
        <v>31</v>
      </c>
      <c r="J607" s="3" t="s">
        <v>5388</v>
      </c>
      <c r="K607" s="17" t="str">
        <f>HYPERLINK("http://ictvonline.org/taxonomyHistory.asp?taxnode_id=20170743","ICTVonline=20170743")</f>
        <v>ICTVonline=20170743</v>
      </c>
      <c r="L607" s="3">
        <v>606</v>
      </c>
    </row>
    <row r="608" spans="1:12" x14ac:dyDescent="0.15">
      <c r="A608" s="1" t="s">
        <v>1341</v>
      </c>
      <c r="B608" s="1" t="s">
        <v>904</v>
      </c>
      <c r="C608" s="1" t="s">
        <v>4282</v>
      </c>
      <c r="D608" s="1" t="s">
        <v>4284</v>
      </c>
      <c r="E608" s="1" t="s">
        <v>4534</v>
      </c>
      <c r="F608" s="3">
        <v>0</v>
      </c>
      <c r="G608" s="8" t="s">
        <v>2771</v>
      </c>
      <c r="H608" s="8" t="s">
        <v>5159</v>
      </c>
      <c r="I608" s="3">
        <v>31</v>
      </c>
      <c r="J608" s="3" t="s">
        <v>5388</v>
      </c>
      <c r="K608" s="17" t="str">
        <f>HYPERLINK("http://ictvonline.org/taxonomyHistory.asp?taxnode_id=20170744","ICTVonline=20170744")</f>
        <v>ICTVonline=20170744</v>
      </c>
      <c r="L608" s="3">
        <v>607</v>
      </c>
    </row>
    <row r="609" spans="1:12" x14ac:dyDescent="0.15">
      <c r="A609" s="1" t="s">
        <v>1341</v>
      </c>
      <c r="B609" s="1" t="s">
        <v>904</v>
      </c>
      <c r="C609" s="1" t="s">
        <v>4282</v>
      </c>
      <c r="D609" s="1" t="s">
        <v>4284</v>
      </c>
      <c r="E609" s="1" t="s">
        <v>3406</v>
      </c>
      <c r="F609" s="3">
        <v>0</v>
      </c>
      <c r="G609" s="8" t="s">
        <v>2771</v>
      </c>
      <c r="H609" s="8" t="s">
        <v>5161</v>
      </c>
      <c r="I609" s="3">
        <v>31</v>
      </c>
      <c r="J609" s="3" t="s">
        <v>5388</v>
      </c>
      <c r="K609" s="17" t="str">
        <f>HYPERLINK("http://ictvonline.org/taxonomyHistory.asp?taxnode_id=20170745","ICTVonline=20170745")</f>
        <v>ICTVonline=20170745</v>
      </c>
      <c r="L609" s="3">
        <v>608</v>
      </c>
    </row>
    <row r="610" spans="1:12" x14ac:dyDescent="0.15">
      <c r="A610" s="1" t="s">
        <v>1341</v>
      </c>
      <c r="B610" s="1" t="s">
        <v>904</v>
      </c>
      <c r="C610" s="1" t="s">
        <v>4282</v>
      </c>
      <c r="D610" s="1" t="s">
        <v>4284</v>
      </c>
      <c r="E610" s="1" t="s">
        <v>3411</v>
      </c>
      <c r="F610" s="3">
        <v>0</v>
      </c>
      <c r="G610" s="8" t="s">
        <v>2771</v>
      </c>
      <c r="H610" s="8" t="s">
        <v>5161</v>
      </c>
      <c r="I610" s="3">
        <v>31</v>
      </c>
      <c r="J610" s="3" t="s">
        <v>5388</v>
      </c>
      <c r="K610" s="17" t="str">
        <f>HYPERLINK("http://ictvonline.org/taxonomyHistory.asp?taxnode_id=20170746","ICTVonline=20170746")</f>
        <v>ICTVonline=20170746</v>
      </c>
      <c r="L610" s="3">
        <v>609</v>
      </c>
    </row>
    <row r="611" spans="1:12" x14ac:dyDescent="0.15">
      <c r="A611" s="1" t="s">
        <v>1341</v>
      </c>
      <c r="B611" s="1" t="s">
        <v>904</v>
      </c>
      <c r="C611" s="1" t="s">
        <v>4282</v>
      </c>
      <c r="D611" s="1" t="s">
        <v>4284</v>
      </c>
      <c r="E611" s="1" t="s">
        <v>4535</v>
      </c>
      <c r="F611" s="3">
        <v>0</v>
      </c>
      <c r="G611" s="8" t="s">
        <v>2771</v>
      </c>
      <c r="H611" s="8" t="s">
        <v>5159</v>
      </c>
      <c r="I611" s="3">
        <v>31</v>
      </c>
      <c r="J611" s="3" t="s">
        <v>5388</v>
      </c>
      <c r="K611" s="17" t="str">
        <f>HYPERLINK("http://ictvonline.org/taxonomyHistory.asp?taxnode_id=20170747","ICTVonline=20170747")</f>
        <v>ICTVonline=20170747</v>
      </c>
      <c r="L611" s="3">
        <v>610</v>
      </c>
    </row>
    <row r="612" spans="1:12" x14ac:dyDescent="0.15">
      <c r="A612" s="1" t="s">
        <v>1341</v>
      </c>
      <c r="B612" s="1" t="s">
        <v>904</v>
      </c>
      <c r="C612" s="1" t="s">
        <v>4282</v>
      </c>
      <c r="D612" s="1" t="s">
        <v>4284</v>
      </c>
      <c r="E612" s="1" t="s">
        <v>3412</v>
      </c>
      <c r="F612" s="3">
        <v>0</v>
      </c>
      <c r="G612" s="8" t="s">
        <v>2771</v>
      </c>
      <c r="H612" s="8" t="s">
        <v>5161</v>
      </c>
      <c r="I612" s="3">
        <v>31</v>
      </c>
      <c r="J612" s="3" t="s">
        <v>5388</v>
      </c>
      <c r="K612" s="17" t="str">
        <f>HYPERLINK("http://ictvonline.org/taxonomyHistory.asp?taxnode_id=20170748","ICTVonline=20170748")</f>
        <v>ICTVonline=20170748</v>
      </c>
      <c r="L612" s="3">
        <v>611</v>
      </c>
    </row>
    <row r="613" spans="1:12" x14ac:dyDescent="0.15">
      <c r="A613" s="1" t="s">
        <v>1341</v>
      </c>
      <c r="B613" s="1" t="s">
        <v>904</v>
      </c>
      <c r="C613" s="1" t="s">
        <v>4282</v>
      </c>
      <c r="D613" s="1" t="s">
        <v>3400</v>
      </c>
      <c r="E613" s="1" t="s">
        <v>4536</v>
      </c>
      <c r="F613" s="3">
        <v>0</v>
      </c>
      <c r="G613" s="8" t="s">
        <v>2771</v>
      </c>
      <c r="H613" s="8" t="s">
        <v>5159</v>
      </c>
      <c r="I613" s="3">
        <v>31</v>
      </c>
      <c r="J613" s="3" t="s">
        <v>5388</v>
      </c>
      <c r="K613" s="17" t="str">
        <f>HYPERLINK("http://ictvonline.org/taxonomyHistory.asp?taxnode_id=20170750","ICTVonline=20170750")</f>
        <v>ICTVonline=20170750</v>
      </c>
      <c r="L613" s="3">
        <v>612</v>
      </c>
    </row>
    <row r="614" spans="1:12" x14ac:dyDescent="0.15">
      <c r="A614" s="1" t="s">
        <v>1341</v>
      </c>
      <c r="B614" s="1" t="s">
        <v>904</v>
      </c>
      <c r="C614" s="1" t="s">
        <v>4282</v>
      </c>
      <c r="D614" s="1" t="s">
        <v>3400</v>
      </c>
      <c r="E614" s="1" t="s">
        <v>4537</v>
      </c>
      <c r="F614" s="3">
        <v>0</v>
      </c>
      <c r="G614" s="8" t="s">
        <v>2771</v>
      </c>
      <c r="H614" s="8" t="s">
        <v>5159</v>
      </c>
      <c r="I614" s="3">
        <v>31</v>
      </c>
      <c r="J614" s="3" t="s">
        <v>5388</v>
      </c>
      <c r="K614" s="17" t="str">
        <f>HYPERLINK("http://ictvonline.org/taxonomyHistory.asp?taxnode_id=20170751","ICTVonline=20170751")</f>
        <v>ICTVonline=20170751</v>
      </c>
      <c r="L614" s="3">
        <v>613</v>
      </c>
    </row>
    <row r="615" spans="1:12" x14ac:dyDescent="0.15">
      <c r="A615" s="1" t="s">
        <v>1341</v>
      </c>
      <c r="B615" s="1" t="s">
        <v>904</v>
      </c>
      <c r="C615" s="1" t="s">
        <v>4282</v>
      </c>
      <c r="D615" s="1" t="s">
        <v>3400</v>
      </c>
      <c r="E615" s="1" t="s">
        <v>3407</v>
      </c>
      <c r="F615" s="3">
        <v>0</v>
      </c>
      <c r="G615" s="8" t="s">
        <v>2771</v>
      </c>
      <c r="H615" s="8" t="s">
        <v>5161</v>
      </c>
      <c r="I615" s="3">
        <v>31</v>
      </c>
      <c r="J615" s="3" t="s">
        <v>5388</v>
      </c>
      <c r="K615" s="17" t="str">
        <f>HYPERLINK("http://ictvonline.org/taxonomyHistory.asp?taxnode_id=20170752","ICTVonline=20170752")</f>
        <v>ICTVonline=20170752</v>
      </c>
      <c r="L615" s="3">
        <v>614</v>
      </c>
    </row>
    <row r="616" spans="1:12" x14ac:dyDescent="0.15">
      <c r="A616" s="1" t="s">
        <v>1341</v>
      </c>
      <c r="B616" s="1" t="s">
        <v>904</v>
      </c>
      <c r="C616" s="1" t="s">
        <v>4282</v>
      </c>
      <c r="D616" s="1" t="s">
        <v>3400</v>
      </c>
      <c r="E616" s="1" t="s">
        <v>4538</v>
      </c>
      <c r="F616" s="3">
        <v>0</v>
      </c>
      <c r="G616" s="8" t="s">
        <v>2771</v>
      </c>
      <c r="H616" s="8" t="s">
        <v>5159</v>
      </c>
      <c r="I616" s="3">
        <v>31</v>
      </c>
      <c r="J616" s="3" t="s">
        <v>5388</v>
      </c>
      <c r="K616" s="17" t="str">
        <f>HYPERLINK("http://ictvonline.org/taxonomyHistory.asp?taxnode_id=20170753","ICTVonline=20170753")</f>
        <v>ICTVonline=20170753</v>
      </c>
      <c r="L616" s="3">
        <v>615</v>
      </c>
    </row>
    <row r="617" spans="1:12" x14ac:dyDescent="0.15">
      <c r="A617" s="1" t="s">
        <v>1341</v>
      </c>
      <c r="B617" s="1" t="s">
        <v>904</v>
      </c>
      <c r="C617" s="1" t="s">
        <v>4282</v>
      </c>
      <c r="D617" s="1" t="s">
        <v>3400</v>
      </c>
      <c r="E617" s="1" t="s">
        <v>3408</v>
      </c>
      <c r="F617" s="3">
        <v>1</v>
      </c>
      <c r="G617" s="8" t="s">
        <v>2771</v>
      </c>
      <c r="H617" s="8" t="s">
        <v>5161</v>
      </c>
      <c r="I617" s="3">
        <v>31</v>
      </c>
      <c r="J617" s="3" t="s">
        <v>5388</v>
      </c>
      <c r="K617" s="17" t="str">
        <f>HYPERLINK("http://ictvonline.org/taxonomyHistory.asp?taxnode_id=20170754","ICTVonline=20170754")</f>
        <v>ICTVonline=20170754</v>
      </c>
      <c r="L617" s="3">
        <v>616</v>
      </c>
    </row>
    <row r="618" spans="1:12" x14ac:dyDescent="0.15">
      <c r="A618" s="1" t="s">
        <v>1341</v>
      </c>
      <c r="B618" s="1" t="s">
        <v>904</v>
      </c>
      <c r="C618" s="1" t="s">
        <v>4282</v>
      </c>
      <c r="D618" s="1" t="s">
        <v>3400</v>
      </c>
      <c r="E618" s="1" t="s">
        <v>4539</v>
      </c>
      <c r="F618" s="3">
        <v>0</v>
      </c>
      <c r="G618" s="8" t="s">
        <v>2771</v>
      </c>
      <c r="H618" s="8" t="s">
        <v>5159</v>
      </c>
      <c r="I618" s="3">
        <v>31</v>
      </c>
      <c r="J618" s="3" t="s">
        <v>5388</v>
      </c>
      <c r="K618" s="17" t="str">
        <f>HYPERLINK("http://ictvonline.org/taxonomyHistory.asp?taxnode_id=20170755","ICTVonline=20170755")</f>
        <v>ICTVonline=20170755</v>
      </c>
      <c r="L618" s="3">
        <v>617</v>
      </c>
    </row>
    <row r="619" spans="1:12" x14ac:dyDescent="0.15">
      <c r="A619" s="1" t="s">
        <v>1341</v>
      </c>
      <c r="B619" s="1" t="s">
        <v>904</v>
      </c>
      <c r="C619" s="1" t="s">
        <v>4282</v>
      </c>
      <c r="D619" s="1" t="s">
        <v>3400</v>
      </c>
      <c r="E619" s="1" t="s">
        <v>4540</v>
      </c>
      <c r="F619" s="3">
        <v>0</v>
      </c>
      <c r="G619" s="8" t="s">
        <v>2771</v>
      </c>
      <c r="H619" s="8" t="s">
        <v>5159</v>
      </c>
      <c r="I619" s="3">
        <v>31</v>
      </c>
      <c r="J619" s="3" t="s">
        <v>5388</v>
      </c>
      <c r="K619" s="17" t="str">
        <f>HYPERLINK("http://ictvonline.org/taxonomyHistory.asp?taxnode_id=20170756","ICTVonline=20170756")</f>
        <v>ICTVonline=20170756</v>
      </c>
      <c r="L619" s="3">
        <v>618</v>
      </c>
    </row>
    <row r="620" spans="1:12" s="10" customFormat="1" x14ac:dyDescent="0.15">
      <c r="A620" s="1" t="s">
        <v>1341</v>
      </c>
      <c r="B620" s="1" t="s">
        <v>904</v>
      </c>
      <c r="C620" s="1" t="s">
        <v>4282</v>
      </c>
      <c r="D620" s="1" t="s">
        <v>4285</v>
      </c>
      <c r="E620" s="1" t="s">
        <v>3402</v>
      </c>
      <c r="F620" s="3">
        <v>0</v>
      </c>
      <c r="G620" s="8" t="s">
        <v>2771</v>
      </c>
      <c r="H620" s="8" t="s">
        <v>5161</v>
      </c>
      <c r="I620" s="3">
        <v>31</v>
      </c>
      <c r="J620" s="3" t="s">
        <v>5388</v>
      </c>
      <c r="K620" s="17" t="str">
        <f>HYPERLINK("http://ictvonline.org/taxonomyHistory.asp?taxnode_id=20170758","ICTVonline=20170758")</f>
        <v>ICTVonline=20170758</v>
      </c>
      <c r="L620" s="3">
        <v>619</v>
      </c>
    </row>
    <row r="621" spans="1:12" x14ac:dyDescent="0.15">
      <c r="A621" s="1" t="s">
        <v>1341</v>
      </c>
      <c r="B621" s="1" t="s">
        <v>904</v>
      </c>
      <c r="C621" s="1" t="s">
        <v>4282</v>
      </c>
      <c r="D621" s="1" t="s">
        <v>4285</v>
      </c>
      <c r="E621" s="1" t="s">
        <v>4541</v>
      </c>
      <c r="F621" s="3">
        <v>0</v>
      </c>
      <c r="G621" s="8" t="s">
        <v>2771</v>
      </c>
      <c r="H621" s="8" t="s">
        <v>5159</v>
      </c>
      <c r="I621" s="3">
        <v>31</v>
      </c>
      <c r="J621" s="3" t="s">
        <v>5388</v>
      </c>
      <c r="K621" s="17" t="str">
        <f>HYPERLINK("http://ictvonline.org/taxonomyHistory.asp?taxnode_id=20170759","ICTVonline=20170759")</f>
        <v>ICTVonline=20170759</v>
      </c>
      <c r="L621" s="3">
        <v>620</v>
      </c>
    </row>
    <row r="622" spans="1:12" x14ac:dyDescent="0.15">
      <c r="A622" s="1" t="s">
        <v>1341</v>
      </c>
      <c r="B622" s="1" t="s">
        <v>904</v>
      </c>
      <c r="C622" s="1" t="s">
        <v>4282</v>
      </c>
      <c r="D622" s="1" t="s">
        <v>4285</v>
      </c>
      <c r="E622" s="1" t="s">
        <v>3405</v>
      </c>
      <c r="F622" s="3">
        <v>0</v>
      </c>
      <c r="G622" s="8" t="s">
        <v>2771</v>
      </c>
      <c r="H622" s="8" t="s">
        <v>5161</v>
      </c>
      <c r="I622" s="3">
        <v>31</v>
      </c>
      <c r="J622" s="3" t="s">
        <v>5388</v>
      </c>
      <c r="K622" s="17" t="str">
        <f>HYPERLINK("http://ictvonline.org/taxonomyHistory.asp?taxnode_id=20170760","ICTVonline=20170760")</f>
        <v>ICTVonline=20170760</v>
      </c>
      <c r="L622" s="3">
        <v>621</v>
      </c>
    </row>
    <row r="623" spans="1:12" x14ac:dyDescent="0.15">
      <c r="A623" s="1" t="s">
        <v>1341</v>
      </c>
      <c r="B623" s="1" t="s">
        <v>904</v>
      </c>
      <c r="C623" s="1" t="s">
        <v>4282</v>
      </c>
      <c r="D623" s="1" t="s">
        <v>4285</v>
      </c>
      <c r="E623" s="1" t="s">
        <v>3409</v>
      </c>
      <c r="F623" s="3">
        <v>1</v>
      </c>
      <c r="G623" s="8" t="s">
        <v>2771</v>
      </c>
      <c r="H623" s="8" t="s">
        <v>5161</v>
      </c>
      <c r="I623" s="3">
        <v>31</v>
      </c>
      <c r="J623" s="3" t="s">
        <v>5388</v>
      </c>
      <c r="K623" s="17" t="str">
        <f>HYPERLINK("http://ictvonline.org/taxonomyHistory.asp?taxnode_id=20170761","ICTVonline=20170761")</f>
        <v>ICTVonline=20170761</v>
      </c>
      <c r="L623" s="3">
        <v>622</v>
      </c>
    </row>
    <row r="624" spans="1:12" x14ac:dyDescent="0.15">
      <c r="A624" s="1" t="s">
        <v>1341</v>
      </c>
      <c r="B624" s="1" t="s">
        <v>904</v>
      </c>
      <c r="C624" s="1" t="s">
        <v>4282</v>
      </c>
      <c r="D624" s="1" t="s">
        <v>4286</v>
      </c>
      <c r="E624" s="1" t="s">
        <v>4542</v>
      </c>
      <c r="F624" s="3">
        <v>0</v>
      </c>
      <c r="G624" s="8" t="s">
        <v>2771</v>
      </c>
      <c r="H624" s="8" t="s">
        <v>5159</v>
      </c>
      <c r="I624" s="3">
        <v>31</v>
      </c>
      <c r="J624" s="3" t="s">
        <v>5388</v>
      </c>
      <c r="K624" s="17" t="str">
        <f>HYPERLINK("http://ictvonline.org/taxonomyHistory.asp?taxnode_id=20170763","ICTVonline=20170763")</f>
        <v>ICTVonline=20170763</v>
      </c>
      <c r="L624" s="3">
        <v>623</v>
      </c>
    </row>
    <row r="625" spans="1:12" x14ac:dyDescent="0.15">
      <c r="A625" s="1" t="s">
        <v>1341</v>
      </c>
      <c r="B625" s="1" t="s">
        <v>904</v>
      </c>
      <c r="C625" s="1" t="s">
        <v>4282</v>
      </c>
      <c r="D625" s="1" t="s">
        <v>4286</v>
      </c>
      <c r="E625" s="1" t="s">
        <v>3410</v>
      </c>
      <c r="F625" s="3">
        <v>1</v>
      </c>
      <c r="G625" s="8" t="s">
        <v>2771</v>
      </c>
      <c r="H625" s="8" t="s">
        <v>5161</v>
      </c>
      <c r="I625" s="3">
        <v>31</v>
      </c>
      <c r="J625" s="3" t="s">
        <v>5388</v>
      </c>
      <c r="K625" s="17" t="str">
        <f>HYPERLINK("http://ictvonline.org/taxonomyHistory.asp?taxnode_id=20170764","ICTVonline=20170764")</f>
        <v>ICTVonline=20170764</v>
      </c>
      <c r="L625" s="3">
        <v>624</v>
      </c>
    </row>
    <row r="626" spans="1:12" x14ac:dyDescent="0.15">
      <c r="A626" s="1" t="s">
        <v>1341</v>
      </c>
      <c r="B626" s="1" t="s">
        <v>904</v>
      </c>
      <c r="C626" s="1" t="s">
        <v>5389</v>
      </c>
      <c r="D626" s="1" t="s">
        <v>5390</v>
      </c>
      <c r="E626" s="1" t="s">
        <v>3261</v>
      </c>
      <c r="F626" s="3">
        <v>0</v>
      </c>
      <c r="G626" s="8" t="s">
        <v>2771</v>
      </c>
      <c r="H626" s="8" t="s">
        <v>5161</v>
      </c>
      <c r="I626" s="3">
        <v>32</v>
      </c>
      <c r="J626" s="3" t="s">
        <v>5391</v>
      </c>
      <c r="K626" s="17" t="str">
        <f>HYPERLINK("http://ictvonline.org/taxonomyHistory.asp?taxnode_id=20170920","ICTVonline=20170920")</f>
        <v>ICTVonline=20170920</v>
      </c>
      <c r="L626" s="3">
        <v>625</v>
      </c>
    </row>
    <row r="627" spans="1:12" x14ac:dyDescent="0.15">
      <c r="A627" s="1" t="s">
        <v>1341</v>
      </c>
      <c r="B627" s="1" t="s">
        <v>904</v>
      </c>
      <c r="C627" s="1" t="s">
        <v>5389</v>
      </c>
      <c r="D627" s="1" t="s">
        <v>5390</v>
      </c>
      <c r="E627" s="1" t="s">
        <v>3262</v>
      </c>
      <c r="F627" s="3">
        <v>1</v>
      </c>
      <c r="G627" s="8" t="s">
        <v>2771</v>
      </c>
      <c r="H627" s="8" t="s">
        <v>5161</v>
      </c>
      <c r="I627" s="3">
        <v>32</v>
      </c>
      <c r="J627" s="3" t="s">
        <v>5391</v>
      </c>
      <c r="K627" s="17" t="str">
        <f>HYPERLINK("http://ictvonline.org/taxonomyHistory.asp?taxnode_id=20170921","ICTVonline=20170921")</f>
        <v>ICTVonline=20170921</v>
      </c>
      <c r="L627" s="3">
        <v>626</v>
      </c>
    </row>
    <row r="628" spans="1:12" x14ac:dyDescent="0.15">
      <c r="A628" s="1" t="s">
        <v>1341</v>
      </c>
      <c r="B628" s="1" t="s">
        <v>904</v>
      </c>
      <c r="C628" s="1" t="s">
        <v>5389</v>
      </c>
      <c r="D628" s="1" t="s">
        <v>3260</v>
      </c>
      <c r="E628" s="1" t="s">
        <v>3263</v>
      </c>
      <c r="F628" s="3">
        <v>1</v>
      </c>
      <c r="G628" s="8" t="s">
        <v>2771</v>
      </c>
      <c r="H628" s="8" t="s">
        <v>5161</v>
      </c>
      <c r="I628" s="3">
        <v>32</v>
      </c>
      <c r="J628" s="3" t="s">
        <v>5391</v>
      </c>
      <c r="K628" s="17" t="str">
        <f>HYPERLINK("http://ictvonline.org/taxonomyHistory.asp?taxnode_id=20170922","ICTVonline=20170922")</f>
        <v>ICTVonline=20170922</v>
      </c>
      <c r="L628" s="3">
        <v>627</v>
      </c>
    </row>
    <row r="629" spans="1:12" x14ac:dyDescent="0.15">
      <c r="A629" s="1" t="s">
        <v>1341</v>
      </c>
      <c r="B629" s="1" t="s">
        <v>904</v>
      </c>
      <c r="C629" s="1" t="s">
        <v>5389</v>
      </c>
      <c r="D629" s="1" t="s">
        <v>3260</v>
      </c>
      <c r="E629" s="1" t="s">
        <v>5392</v>
      </c>
      <c r="F629" s="3">
        <v>0</v>
      </c>
      <c r="G629" s="8" t="s">
        <v>2771</v>
      </c>
      <c r="H629" s="8" t="s">
        <v>5159</v>
      </c>
      <c r="I629" s="3">
        <v>32</v>
      </c>
      <c r="J629" s="3" t="s">
        <v>5391</v>
      </c>
      <c r="K629" s="17" t="str">
        <f>HYPERLINK("http://ictvonline.org/taxonomyHistory.asp?taxnode_id=20175506","ICTVonline=20175506")</f>
        <v>ICTVonline=20175506</v>
      </c>
      <c r="L629" s="3">
        <v>628</v>
      </c>
    </row>
    <row r="630" spans="1:12" x14ac:dyDescent="0.15">
      <c r="A630" s="1" t="s">
        <v>1341</v>
      </c>
      <c r="B630" s="1" t="s">
        <v>904</v>
      </c>
      <c r="C630" s="1" t="s">
        <v>5393</v>
      </c>
      <c r="D630" s="1" t="s">
        <v>5394</v>
      </c>
      <c r="E630" s="1" t="s">
        <v>5395</v>
      </c>
      <c r="F630" s="3">
        <v>1</v>
      </c>
      <c r="G630" s="8" t="s">
        <v>2771</v>
      </c>
      <c r="H630" s="8" t="s">
        <v>5159</v>
      </c>
      <c r="I630" s="3">
        <v>32</v>
      </c>
      <c r="J630" s="3" t="s">
        <v>5396</v>
      </c>
      <c r="K630" s="17" t="str">
        <f>HYPERLINK("http://ictvonline.org/taxonomyHistory.asp?taxnode_id=20175508","ICTVonline=20175508")</f>
        <v>ICTVonline=20175508</v>
      </c>
      <c r="L630" s="3">
        <v>629</v>
      </c>
    </row>
    <row r="631" spans="1:12" x14ac:dyDescent="0.15">
      <c r="A631" s="1" t="s">
        <v>1341</v>
      </c>
      <c r="B631" s="1" t="s">
        <v>904</v>
      </c>
      <c r="C631" s="1" t="s">
        <v>5393</v>
      </c>
      <c r="D631" s="1" t="s">
        <v>5397</v>
      </c>
      <c r="E631" s="1" t="s">
        <v>5398</v>
      </c>
      <c r="F631" s="3">
        <v>1</v>
      </c>
      <c r="G631" s="8" t="s">
        <v>2771</v>
      </c>
      <c r="H631" s="8" t="s">
        <v>5159</v>
      </c>
      <c r="I631" s="3">
        <v>32</v>
      </c>
      <c r="J631" s="3" t="s">
        <v>5396</v>
      </c>
      <c r="K631" s="17" t="str">
        <f>HYPERLINK("http://ictvonline.org/taxonomyHistory.asp?taxnode_id=20175510","ICTVonline=20175510")</f>
        <v>ICTVonline=20175510</v>
      </c>
      <c r="L631" s="3">
        <v>630</v>
      </c>
    </row>
    <row r="632" spans="1:12" x14ac:dyDescent="0.15">
      <c r="A632" s="1" t="s">
        <v>1341</v>
      </c>
      <c r="B632" s="1" t="s">
        <v>904</v>
      </c>
      <c r="C632" s="1" t="s">
        <v>3141</v>
      </c>
      <c r="D632" s="1" t="s">
        <v>3142</v>
      </c>
      <c r="E632" s="1" t="s">
        <v>3143</v>
      </c>
      <c r="F632" s="3">
        <v>0</v>
      </c>
      <c r="G632" s="8" t="s">
        <v>2771</v>
      </c>
      <c r="H632" s="8" t="s">
        <v>5159</v>
      </c>
      <c r="I632" s="3">
        <v>30</v>
      </c>
      <c r="J632" s="3" t="s">
        <v>5399</v>
      </c>
      <c r="K632" s="17" t="str">
        <f>HYPERLINK("http://ictvonline.org/taxonomyHistory.asp?taxnode_id=20170767","ICTVonline=20170767")</f>
        <v>ICTVonline=20170767</v>
      </c>
      <c r="L632" s="3">
        <v>631</v>
      </c>
    </row>
    <row r="633" spans="1:12" x14ac:dyDescent="0.15">
      <c r="A633" s="1" t="s">
        <v>1341</v>
      </c>
      <c r="B633" s="1" t="s">
        <v>904</v>
      </c>
      <c r="C633" s="1" t="s">
        <v>3141</v>
      </c>
      <c r="D633" s="1" t="s">
        <v>3142</v>
      </c>
      <c r="E633" s="1" t="s">
        <v>3144</v>
      </c>
      <c r="F633" s="3">
        <v>0</v>
      </c>
      <c r="G633" s="8" t="s">
        <v>2771</v>
      </c>
      <c r="H633" s="8" t="s">
        <v>5160</v>
      </c>
      <c r="I633" s="3">
        <v>30</v>
      </c>
      <c r="J633" s="3" t="s">
        <v>5400</v>
      </c>
      <c r="K633" s="17" t="str">
        <f>HYPERLINK("http://ictvonline.org/taxonomyHistory.asp?taxnode_id=20170768","ICTVonline=20170768")</f>
        <v>ICTVonline=20170768</v>
      </c>
      <c r="L633" s="3">
        <v>632</v>
      </c>
    </row>
    <row r="634" spans="1:12" x14ac:dyDescent="0.15">
      <c r="A634" s="1" t="s">
        <v>1341</v>
      </c>
      <c r="B634" s="1" t="s">
        <v>904</v>
      </c>
      <c r="C634" s="1" t="s">
        <v>3141</v>
      </c>
      <c r="D634" s="1" t="s">
        <v>3142</v>
      </c>
      <c r="E634" s="1" t="s">
        <v>4287</v>
      </c>
      <c r="F634" s="3">
        <v>0</v>
      </c>
      <c r="G634" s="8" t="s">
        <v>2771</v>
      </c>
      <c r="H634" s="8" t="s">
        <v>5159</v>
      </c>
      <c r="I634" s="3">
        <v>31</v>
      </c>
      <c r="J634" s="3" t="s">
        <v>5298</v>
      </c>
      <c r="K634" s="17" t="str">
        <f>HYPERLINK("http://ictvonline.org/taxonomyHistory.asp?taxnode_id=20170769","ICTVonline=20170769")</f>
        <v>ICTVonline=20170769</v>
      </c>
      <c r="L634" s="3">
        <v>633</v>
      </c>
    </row>
    <row r="635" spans="1:12" x14ac:dyDescent="0.15">
      <c r="A635" s="1" t="s">
        <v>1341</v>
      </c>
      <c r="B635" s="1" t="s">
        <v>904</v>
      </c>
      <c r="C635" s="1" t="s">
        <v>3141</v>
      </c>
      <c r="D635" s="1" t="s">
        <v>3142</v>
      </c>
      <c r="E635" s="1" t="s">
        <v>3145</v>
      </c>
      <c r="F635" s="3">
        <v>1</v>
      </c>
      <c r="G635" s="8" t="s">
        <v>2771</v>
      </c>
      <c r="H635" s="8" t="s">
        <v>5160</v>
      </c>
      <c r="I635" s="3">
        <v>30</v>
      </c>
      <c r="J635" s="3" t="s">
        <v>5400</v>
      </c>
      <c r="K635" s="17" t="str">
        <f>HYPERLINK("http://ictvonline.org/taxonomyHistory.asp?taxnode_id=20170770","ICTVonline=20170770")</f>
        <v>ICTVonline=20170770</v>
      </c>
      <c r="L635" s="3">
        <v>634</v>
      </c>
    </row>
    <row r="636" spans="1:12" x14ac:dyDescent="0.15">
      <c r="A636" s="1" t="s">
        <v>1341</v>
      </c>
      <c r="B636" s="1" t="s">
        <v>904</v>
      </c>
      <c r="C636" s="1" t="s">
        <v>3141</v>
      </c>
      <c r="D636" s="1" t="s">
        <v>3142</v>
      </c>
      <c r="E636" s="1" t="s">
        <v>5177</v>
      </c>
      <c r="F636" s="3">
        <v>0</v>
      </c>
      <c r="G636" s="8" t="s">
        <v>2771</v>
      </c>
      <c r="H636" s="8" t="s">
        <v>5162</v>
      </c>
      <c r="I636" s="3">
        <v>31</v>
      </c>
      <c r="J636" s="3" t="s">
        <v>5300</v>
      </c>
      <c r="K636" s="17" t="str">
        <f>HYPERLINK("http://ictvonline.org/taxonomyHistory.asp?taxnode_id=20170771","ICTVonline=20170771")</f>
        <v>ICTVonline=20170771</v>
      </c>
      <c r="L636" s="3">
        <v>635</v>
      </c>
    </row>
    <row r="637" spans="1:12" x14ac:dyDescent="0.15">
      <c r="A637" s="1" t="s">
        <v>1341</v>
      </c>
      <c r="B637" s="1" t="s">
        <v>904</v>
      </c>
      <c r="C637" s="1" t="s">
        <v>3141</v>
      </c>
      <c r="D637" s="1" t="s">
        <v>3142</v>
      </c>
      <c r="E637" s="1" t="s">
        <v>5178</v>
      </c>
      <c r="F637" s="3">
        <v>0</v>
      </c>
      <c r="G637" s="8" t="s">
        <v>2771</v>
      </c>
      <c r="H637" s="8" t="s">
        <v>5162</v>
      </c>
      <c r="I637" s="3">
        <v>31</v>
      </c>
      <c r="J637" s="3" t="s">
        <v>5300</v>
      </c>
      <c r="K637" s="17" t="str">
        <f>HYPERLINK("http://ictvonline.org/taxonomyHistory.asp?taxnode_id=20170772","ICTVonline=20170772")</f>
        <v>ICTVonline=20170772</v>
      </c>
      <c r="L637" s="3">
        <v>636</v>
      </c>
    </row>
    <row r="638" spans="1:12" x14ac:dyDescent="0.15">
      <c r="A638" s="1" t="s">
        <v>1341</v>
      </c>
      <c r="B638" s="1" t="s">
        <v>904</v>
      </c>
      <c r="C638" s="1" t="s">
        <v>3141</v>
      </c>
      <c r="D638" s="1" t="s">
        <v>3142</v>
      </c>
      <c r="E638" s="1" t="s">
        <v>3146</v>
      </c>
      <c r="F638" s="3">
        <v>0</v>
      </c>
      <c r="G638" s="8" t="s">
        <v>2771</v>
      </c>
      <c r="H638" s="8" t="s">
        <v>5160</v>
      </c>
      <c r="I638" s="3">
        <v>30</v>
      </c>
      <c r="J638" s="3" t="s">
        <v>5400</v>
      </c>
      <c r="K638" s="17" t="str">
        <f>HYPERLINK("http://ictvonline.org/taxonomyHistory.asp?taxnode_id=20170773","ICTVonline=20170773")</f>
        <v>ICTVonline=20170773</v>
      </c>
      <c r="L638" s="3">
        <v>637</v>
      </c>
    </row>
    <row r="639" spans="1:12" x14ac:dyDescent="0.15">
      <c r="A639" s="1" t="s">
        <v>1341</v>
      </c>
      <c r="B639" s="1" t="s">
        <v>904</v>
      </c>
      <c r="C639" s="1" t="s">
        <v>3141</v>
      </c>
      <c r="D639" s="1" t="s">
        <v>3142</v>
      </c>
      <c r="E639" s="1" t="s">
        <v>3147</v>
      </c>
      <c r="F639" s="3">
        <v>0</v>
      </c>
      <c r="G639" s="8" t="s">
        <v>2771</v>
      </c>
      <c r="H639" s="8" t="s">
        <v>5160</v>
      </c>
      <c r="I639" s="3">
        <v>30</v>
      </c>
      <c r="J639" s="3" t="s">
        <v>5400</v>
      </c>
      <c r="K639" s="17" t="str">
        <f>HYPERLINK("http://ictvonline.org/taxonomyHistory.asp?taxnode_id=20170774","ICTVonline=20170774")</f>
        <v>ICTVonline=20170774</v>
      </c>
      <c r="L639" s="3">
        <v>638</v>
      </c>
    </row>
    <row r="640" spans="1:12" x14ac:dyDescent="0.15">
      <c r="A640" s="1" t="s">
        <v>1341</v>
      </c>
      <c r="B640" s="1" t="s">
        <v>904</v>
      </c>
      <c r="C640" s="1" t="s">
        <v>3141</v>
      </c>
      <c r="D640" s="1" t="s">
        <v>3142</v>
      </c>
      <c r="E640" s="1" t="s">
        <v>3148</v>
      </c>
      <c r="F640" s="3">
        <v>0</v>
      </c>
      <c r="G640" s="8" t="s">
        <v>2771</v>
      </c>
      <c r="H640" s="8" t="s">
        <v>5159</v>
      </c>
      <c r="I640" s="3">
        <v>30</v>
      </c>
      <c r="J640" s="3" t="s">
        <v>5399</v>
      </c>
      <c r="K640" s="17" t="str">
        <f>HYPERLINK("http://ictvonline.org/taxonomyHistory.asp?taxnode_id=20170775","ICTVonline=20170775")</f>
        <v>ICTVonline=20170775</v>
      </c>
      <c r="L640" s="3">
        <v>639</v>
      </c>
    </row>
    <row r="641" spans="1:12" x14ac:dyDescent="0.15">
      <c r="A641" s="1" t="s">
        <v>1341</v>
      </c>
      <c r="B641" s="1" t="s">
        <v>904</v>
      </c>
      <c r="C641" s="1" t="s">
        <v>3141</v>
      </c>
      <c r="D641" s="1" t="s">
        <v>3142</v>
      </c>
      <c r="E641" s="1" t="s">
        <v>3149</v>
      </c>
      <c r="F641" s="3">
        <v>0</v>
      </c>
      <c r="G641" s="8" t="s">
        <v>2771</v>
      </c>
      <c r="H641" s="8" t="s">
        <v>5159</v>
      </c>
      <c r="I641" s="3">
        <v>30</v>
      </c>
      <c r="J641" s="3" t="s">
        <v>5399</v>
      </c>
      <c r="K641" s="17" t="str">
        <f>HYPERLINK("http://ictvonline.org/taxonomyHistory.asp?taxnode_id=20170776","ICTVonline=20170776")</f>
        <v>ICTVonline=20170776</v>
      </c>
      <c r="L641" s="3">
        <v>640</v>
      </c>
    </row>
    <row r="642" spans="1:12" x14ac:dyDescent="0.15">
      <c r="A642" s="1" t="s">
        <v>1341</v>
      </c>
      <c r="B642" s="1" t="s">
        <v>904</v>
      </c>
      <c r="C642" s="1" t="s">
        <v>3141</v>
      </c>
      <c r="D642" s="1" t="s">
        <v>3142</v>
      </c>
      <c r="E642" s="1" t="s">
        <v>3150</v>
      </c>
      <c r="F642" s="3">
        <v>0</v>
      </c>
      <c r="G642" s="8" t="s">
        <v>2771</v>
      </c>
      <c r="H642" s="8" t="s">
        <v>5159</v>
      </c>
      <c r="I642" s="3">
        <v>30</v>
      </c>
      <c r="J642" s="3" t="s">
        <v>5399</v>
      </c>
      <c r="K642" s="17" t="str">
        <f>HYPERLINK("http://ictvonline.org/taxonomyHistory.asp?taxnode_id=20170777","ICTVonline=20170777")</f>
        <v>ICTVonline=20170777</v>
      </c>
      <c r="L642" s="3">
        <v>641</v>
      </c>
    </row>
    <row r="643" spans="1:12" x14ac:dyDescent="0.15">
      <c r="A643" s="1" t="s">
        <v>1341</v>
      </c>
      <c r="B643" s="1" t="s">
        <v>904</v>
      </c>
      <c r="C643" s="1" t="s">
        <v>3141</v>
      </c>
      <c r="D643" s="1" t="s">
        <v>3142</v>
      </c>
      <c r="E643" s="1" t="s">
        <v>3151</v>
      </c>
      <c r="F643" s="3">
        <v>0</v>
      </c>
      <c r="G643" s="8" t="s">
        <v>2771</v>
      </c>
      <c r="H643" s="8" t="s">
        <v>5160</v>
      </c>
      <c r="I643" s="3">
        <v>30</v>
      </c>
      <c r="J643" s="3" t="s">
        <v>5400</v>
      </c>
      <c r="K643" s="17" t="str">
        <f>HYPERLINK("http://ictvonline.org/taxonomyHistory.asp?taxnode_id=20170778","ICTVonline=20170778")</f>
        <v>ICTVonline=20170778</v>
      </c>
      <c r="L643" s="3">
        <v>642</v>
      </c>
    </row>
    <row r="644" spans="1:12" x14ac:dyDescent="0.15">
      <c r="A644" s="1" t="s">
        <v>1341</v>
      </c>
      <c r="B644" s="1" t="s">
        <v>904</v>
      </c>
      <c r="C644" s="1" t="s">
        <v>3141</v>
      </c>
      <c r="D644" s="1" t="s">
        <v>3142</v>
      </c>
      <c r="E644" s="1" t="s">
        <v>3152</v>
      </c>
      <c r="F644" s="3">
        <v>0</v>
      </c>
      <c r="G644" s="8" t="s">
        <v>2771</v>
      </c>
      <c r="H644" s="8" t="s">
        <v>5160</v>
      </c>
      <c r="I644" s="3">
        <v>30</v>
      </c>
      <c r="J644" s="3" t="s">
        <v>5400</v>
      </c>
      <c r="K644" s="17" t="str">
        <f>HYPERLINK("http://ictvonline.org/taxonomyHistory.asp?taxnode_id=20170779","ICTVonline=20170779")</f>
        <v>ICTVonline=20170779</v>
      </c>
      <c r="L644" s="3">
        <v>643</v>
      </c>
    </row>
    <row r="645" spans="1:12" x14ac:dyDescent="0.15">
      <c r="A645" s="1" t="s">
        <v>1341</v>
      </c>
      <c r="B645" s="1" t="s">
        <v>904</v>
      </c>
      <c r="C645" s="1" t="s">
        <v>3141</v>
      </c>
      <c r="D645" s="1" t="s">
        <v>3153</v>
      </c>
      <c r="E645" s="1" t="s">
        <v>3154</v>
      </c>
      <c r="F645" s="3">
        <v>1</v>
      </c>
      <c r="G645" s="8" t="s">
        <v>2771</v>
      </c>
      <c r="H645" s="8" t="s">
        <v>5159</v>
      </c>
      <c r="I645" s="3">
        <v>30</v>
      </c>
      <c r="J645" s="3" t="s">
        <v>5399</v>
      </c>
      <c r="K645" s="17" t="str">
        <f>HYPERLINK("http://ictvonline.org/taxonomyHistory.asp?taxnode_id=20170781","ICTVonline=20170781")</f>
        <v>ICTVonline=20170781</v>
      </c>
      <c r="L645" s="3">
        <v>644</v>
      </c>
    </row>
    <row r="646" spans="1:12" x14ac:dyDescent="0.15">
      <c r="A646" s="1" t="s">
        <v>1341</v>
      </c>
      <c r="B646" s="1" t="s">
        <v>904</v>
      </c>
      <c r="C646" s="1" t="s">
        <v>3141</v>
      </c>
      <c r="D646" s="1" t="s">
        <v>3153</v>
      </c>
      <c r="E646" s="1" t="s">
        <v>3155</v>
      </c>
      <c r="F646" s="3">
        <v>0</v>
      </c>
      <c r="G646" s="8" t="s">
        <v>2771</v>
      </c>
      <c r="H646" s="8" t="s">
        <v>5159</v>
      </c>
      <c r="I646" s="3">
        <v>30</v>
      </c>
      <c r="J646" s="3" t="s">
        <v>5399</v>
      </c>
      <c r="K646" s="17" t="str">
        <f>HYPERLINK("http://ictvonline.org/taxonomyHistory.asp?taxnode_id=20170782","ICTVonline=20170782")</f>
        <v>ICTVonline=20170782</v>
      </c>
      <c r="L646" s="3">
        <v>645</v>
      </c>
    </row>
    <row r="647" spans="1:12" x14ac:dyDescent="0.15">
      <c r="A647" s="1" t="s">
        <v>1341</v>
      </c>
      <c r="B647" s="1" t="s">
        <v>904</v>
      </c>
      <c r="C647" s="1" t="s">
        <v>3141</v>
      </c>
      <c r="D647" s="1" t="s">
        <v>3153</v>
      </c>
      <c r="E647" s="1" t="s">
        <v>3156</v>
      </c>
      <c r="F647" s="3">
        <v>0</v>
      </c>
      <c r="G647" s="8" t="s">
        <v>2771</v>
      </c>
      <c r="H647" s="8" t="s">
        <v>5159</v>
      </c>
      <c r="I647" s="3">
        <v>30</v>
      </c>
      <c r="J647" s="3" t="s">
        <v>5399</v>
      </c>
      <c r="K647" s="17" t="str">
        <f>HYPERLINK("http://ictvonline.org/taxonomyHistory.asp?taxnode_id=20170783","ICTVonline=20170783")</f>
        <v>ICTVonline=20170783</v>
      </c>
      <c r="L647" s="3">
        <v>646</v>
      </c>
    </row>
    <row r="648" spans="1:12" x14ac:dyDescent="0.15">
      <c r="A648" s="1" t="s">
        <v>1341</v>
      </c>
      <c r="B648" s="1" t="s">
        <v>904</v>
      </c>
      <c r="C648" s="1" t="s">
        <v>3141</v>
      </c>
      <c r="D648" s="1" t="s">
        <v>3153</v>
      </c>
      <c r="E648" s="1" t="s">
        <v>3157</v>
      </c>
      <c r="F648" s="3">
        <v>0</v>
      </c>
      <c r="G648" s="8" t="s">
        <v>2771</v>
      </c>
      <c r="H648" s="8" t="s">
        <v>5159</v>
      </c>
      <c r="I648" s="3">
        <v>30</v>
      </c>
      <c r="J648" s="3" t="s">
        <v>5399</v>
      </c>
      <c r="K648" s="17" t="str">
        <f>HYPERLINK("http://ictvonline.org/taxonomyHistory.asp?taxnode_id=20170784","ICTVonline=20170784")</f>
        <v>ICTVonline=20170784</v>
      </c>
      <c r="L648" s="3">
        <v>647</v>
      </c>
    </row>
    <row r="649" spans="1:12" x14ac:dyDescent="0.15">
      <c r="A649" s="1" t="s">
        <v>1341</v>
      </c>
      <c r="B649" s="1" t="s">
        <v>904</v>
      </c>
      <c r="C649" s="1" t="s">
        <v>3141</v>
      </c>
      <c r="D649" s="1" t="s">
        <v>3158</v>
      </c>
      <c r="E649" s="1" t="s">
        <v>3159</v>
      </c>
      <c r="F649" s="3">
        <v>1</v>
      </c>
      <c r="G649" s="8" t="s">
        <v>2771</v>
      </c>
      <c r="H649" s="8" t="s">
        <v>5159</v>
      </c>
      <c r="I649" s="3">
        <v>30</v>
      </c>
      <c r="J649" s="3" t="s">
        <v>5399</v>
      </c>
      <c r="K649" s="17" t="str">
        <f>HYPERLINK("http://ictvonline.org/taxonomyHistory.asp?taxnode_id=20170786","ICTVonline=20170786")</f>
        <v>ICTVonline=20170786</v>
      </c>
      <c r="L649" s="3">
        <v>648</v>
      </c>
    </row>
    <row r="650" spans="1:12" x14ac:dyDescent="0.15">
      <c r="A650" s="1" t="s">
        <v>1341</v>
      </c>
      <c r="B650" s="1" t="s">
        <v>904</v>
      </c>
      <c r="C650" s="1" t="s">
        <v>5401</v>
      </c>
      <c r="D650" s="1" t="s">
        <v>5402</v>
      </c>
      <c r="E650" s="1" t="s">
        <v>5403</v>
      </c>
      <c r="F650" s="3">
        <v>1</v>
      </c>
      <c r="G650" s="8" t="s">
        <v>2771</v>
      </c>
      <c r="H650" s="8" t="s">
        <v>5159</v>
      </c>
      <c r="I650" s="3">
        <v>32</v>
      </c>
      <c r="J650" s="3" t="s">
        <v>5404</v>
      </c>
      <c r="K650" s="17" t="str">
        <f>HYPERLINK("http://ictvonline.org/taxonomyHistory.asp?taxnode_id=20175513","ICTVonline=20175513")</f>
        <v>ICTVonline=20175513</v>
      </c>
      <c r="L650" s="3">
        <v>649</v>
      </c>
    </row>
    <row r="651" spans="1:12" x14ac:dyDescent="0.15">
      <c r="A651" s="1" t="s">
        <v>1341</v>
      </c>
      <c r="B651" s="1" t="s">
        <v>904</v>
      </c>
      <c r="C651" s="1" t="s">
        <v>5401</v>
      </c>
      <c r="D651" s="1" t="s">
        <v>5402</v>
      </c>
      <c r="E651" s="1" t="s">
        <v>5405</v>
      </c>
      <c r="F651" s="3">
        <v>0</v>
      </c>
      <c r="G651" s="8" t="s">
        <v>2771</v>
      </c>
      <c r="H651" s="8" t="s">
        <v>5159</v>
      </c>
      <c r="I651" s="3">
        <v>32</v>
      </c>
      <c r="J651" s="3" t="s">
        <v>5404</v>
      </c>
      <c r="K651" s="17" t="str">
        <f>HYPERLINK("http://ictvonline.org/taxonomyHistory.asp?taxnode_id=20175514","ICTVonline=20175514")</f>
        <v>ICTVonline=20175514</v>
      </c>
      <c r="L651" s="3">
        <v>650</v>
      </c>
    </row>
    <row r="652" spans="1:12" x14ac:dyDescent="0.15">
      <c r="A652" s="1" t="s">
        <v>1341</v>
      </c>
      <c r="B652" s="1" t="s">
        <v>904</v>
      </c>
      <c r="C652" s="1" t="s">
        <v>5401</v>
      </c>
      <c r="D652" s="1" t="s">
        <v>5402</v>
      </c>
      <c r="E652" s="1" t="s">
        <v>5406</v>
      </c>
      <c r="F652" s="3">
        <v>0</v>
      </c>
      <c r="G652" s="8" t="s">
        <v>2771</v>
      </c>
      <c r="H652" s="8" t="s">
        <v>5159</v>
      </c>
      <c r="I652" s="3">
        <v>32</v>
      </c>
      <c r="J652" s="3" t="s">
        <v>5404</v>
      </c>
      <c r="K652" s="17" t="str">
        <f>HYPERLINK("http://ictvonline.org/taxonomyHistory.asp?taxnode_id=20175515","ICTVonline=20175515")</f>
        <v>ICTVonline=20175515</v>
      </c>
      <c r="L652" s="3">
        <v>651</v>
      </c>
    </row>
    <row r="653" spans="1:12" x14ac:dyDescent="0.15">
      <c r="A653" s="1" t="s">
        <v>1341</v>
      </c>
      <c r="B653" s="1" t="s">
        <v>904</v>
      </c>
      <c r="C653" s="1" t="s">
        <v>5401</v>
      </c>
      <c r="D653" s="1" t="s">
        <v>5402</v>
      </c>
      <c r="E653" s="1" t="s">
        <v>5407</v>
      </c>
      <c r="F653" s="3">
        <v>0</v>
      </c>
      <c r="G653" s="8" t="s">
        <v>2771</v>
      </c>
      <c r="H653" s="8" t="s">
        <v>5159</v>
      </c>
      <c r="I653" s="3">
        <v>32</v>
      </c>
      <c r="J653" s="3" t="s">
        <v>5404</v>
      </c>
      <c r="K653" s="17" t="str">
        <f>HYPERLINK("http://ictvonline.org/taxonomyHistory.asp?taxnode_id=20175516","ICTVonline=20175516")</f>
        <v>ICTVonline=20175516</v>
      </c>
      <c r="L653" s="3">
        <v>652</v>
      </c>
    </row>
    <row r="654" spans="1:12" x14ac:dyDescent="0.15">
      <c r="A654" s="1" t="s">
        <v>1341</v>
      </c>
      <c r="B654" s="1" t="s">
        <v>904</v>
      </c>
      <c r="C654" s="1" t="s">
        <v>5401</v>
      </c>
      <c r="D654" s="1" t="s">
        <v>5402</v>
      </c>
      <c r="E654" s="1" t="s">
        <v>5408</v>
      </c>
      <c r="F654" s="3">
        <v>0</v>
      </c>
      <c r="G654" s="8" t="s">
        <v>2771</v>
      </c>
      <c r="H654" s="8" t="s">
        <v>5159</v>
      </c>
      <c r="I654" s="3">
        <v>32</v>
      </c>
      <c r="J654" s="3" t="s">
        <v>5404</v>
      </c>
      <c r="K654" s="17" t="str">
        <f>HYPERLINK("http://ictvonline.org/taxonomyHistory.asp?taxnode_id=20175517","ICTVonline=20175517")</f>
        <v>ICTVonline=20175517</v>
      </c>
      <c r="L654" s="3">
        <v>653</v>
      </c>
    </row>
    <row r="655" spans="1:12" x14ac:dyDescent="0.15">
      <c r="A655" s="1" t="s">
        <v>1341</v>
      </c>
      <c r="B655" s="1" t="s">
        <v>904</v>
      </c>
      <c r="C655" s="1" t="s">
        <v>5401</v>
      </c>
      <c r="D655" s="1" t="s">
        <v>5402</v>
      </c>
      <c r="E655" s="1" t="s">
        <v>5409</v>
      </c>
      <c r="F655" s="3">
        <v>0</v>
      </c>
      <c r="G655" s="8" t="s">
        <v>2771</v>
      </c>
      <c r="H655" s="8" t="s">
        <v>5159</v>
      </c>
      <c r="I655" s="3">
        <v>32</v>
      </c>
      <c r="J655" s="3" t="s">
        <v>5404</v>
      </c>
      <c r="K655" s="17" t="str">
        <f>HYPERLINK("http://ictvonline.org/taxonomyHistory.asp?taxnode_id=20175518","ICTVonline=20175518")</f>
        <v>ICTVonline=20175518</v>
      </c>
      <c r="L655" s="3">
        <v>654</v>
      </c>
    </row>
    <row r="656" spans="1:12" x14ac:dyDescent="0.15">
      <c r="A656" s="1" t="s">
        <v>1341</v>
      </c>
      <c r="B656" s="1" t="s">
        <v>904</v>
      </c>
      <c r="C656" s="1" t="s">
        <v>5401</v>
      </c>
      <c r="D656" s="1" t="s">
        <v>5410</v>
      </c>
      <c r="E656" s="1" t="s">
        <v>5411</v>
      </c>
      <c r="F656" s="3">
        <v>1</v>
      </c>
      <c r="G656" s="8" t="s">
        <v>2771</v>
      </c>
      <c r="H656" s="8" t="s">
        <v>5159</v>
      </c>
      <c r="I656" s="3">
        <v>32</v>
      </c>
      <c r="J656" s="3" t="s">
        <v>5404</v>
      </c>
      <c r="K656" s="17" t="str">
        <f>HYPERLINK("http://ictvonline.org/taxonomyHistory.asp?taxnode_id=20175520","ICTVonline=20175520")</f>
        <v>ICTVonline=20175520</v>
      </c>
      <c r="L656" s="3">
        <v>655</v>
      </c>
    </row>
    <row r="657" spans="1:12" x14ac:dyDescent="0.15">
      <c r="A657" s="1" t="s">
        <v>1341</v>
      </c>
      <c r="B657" s="1" t="s">
        <v>904</v>
      </c>
      <c r="C657" s="1" t="s">
        <v>5401</v>
      </c>
      <c r="D657" s="1" t="s">
        <v>5410</v>
      </c>
      <c r="E657" s="1" t="s">
        <v>5412</v>
      </c>
      <c r="F657" s="3">
        <v>0</v>
      </c>
      <c r="G657" s="8" t="s">
        <v>2771</v>
      </c>
      <c r="H657" s="8" t="s">
        <v>5159</v>
      </c>
      <c r="I657" s="3">
        <v>32</v>
      </c>
      <c r="J657" s="3" t="s">
        <v>5404</v>
      </c>
      <c r="K657" s="17" t="str">
        <f>HYPERLINK("http://ictvonline.org/taxonomyHistory.asp?taxnode_id=20175523","ICTVonline=20175523")</f>
        <v>ICTVonline=20175523</v>
      </c>
      <c r="L657" s="3">
        <v>656</v>
      </c>
    </row>
    <row r="658" spans="1:12" x14ac:dyDescent="0.15">
      <c r="A658" s="1" t="s">
        <v>1341</v>
      </c>
      <c r="B658" s="1" t="s">
        <v>904</v>
      </c>
      <c r="C658" s="1" t="s">
        <v>5401</v>
      </c>
      <c r="D658" s="1" t="s">
        <v>5410</v>
      </c>
      <c r="E658" s="1" t="s">
        <v>5413</v>
      </c>
      <c r="F658" s="3">
        <v>0</v>
      </c>
      <c r="G658" s="8" t="s">
        <v>2771</v>
      </c>
      <c r="H658" s="8" t="s">
        <v>5159</v>
      </c>
      <c r="I658" s="3">
        <v>32</v>
      </c>
      <c r="J658" s="3" t="s">
        <v>5404</v>
      </c>
      <c r="K658" s="17" t="str">
        <f>HYPERLINK("http://ictvonline.org/taxonomyHistory.asp?taxnode_id=20175524","ICTVonline=20175524")</f>
        <v>ICTVonline=20175524</v>
      </c>
      <c r="L658" s="3">
        <v>657</v>
      </c>
    </row>
    <row r="659" spans="1:12" x14ac:dyDescent="0.15">
      <c r="A659" s="1" t="s">
        <v>1341</v>
      </c>
      <c r="B659" s="1" t="s">
        <v>904</v>
      </c>
      <c r="C659" s="1" t="s">
        <v>5401</v>
      </c>
      <c r="D659" s="1" t="s">
        <v>5410</v>
      </c>
      <c r="E659" s="1" t="s">
        <v>5414</v>
      </c>
      <c r="F659" s="3">
        <v>0</v>
      </c>
      <c r="G659" s="8" t="s">
        <v>2771</v>
      </c>
      <c r="H659" s="8" t="s">
        <v>5159</v>
      </c>
      <c r="I659" s="3">
        <v>32</v>
      </c>
      <c r="J659" s="3" t="s">
        <v>5404</v>
      </c>
      <c r="K659" s="17" t="str">
        <f>HYPERLINK("http://ictvonline.org/taxonomyHistory.asp?taxnode_id=20175521","ICTVonline=20175521")</f>
        <v>ICTVonline=20175521</v>
      </c>
      <c r="L659" s="3">
        <v>658</v>
      </c>
    </row>
    <row r="660" spans="1:12" x14ac:dyDescent="0.15">
      <c r="A660" s="1" t="s">
        <v>1341</v>
      </c>
      <c r="B660" s="1" t="s">
        <v>904</v>
      </c>
      <c r="C660" s="1" t="s">
        <v>5401</v>
      </c>
      <c r="D660" s="1" t="s">
        <v>5410</v>
      </c>
      <c r="E660" s="1" t="s">
        <v>5415</v>
      </c>
      <c r="F660" s="3">
        <v>0</v>
      </c>
      <c r="G660" s="8" t="s">
        <v>2771</v>
      </c>
      <c r="H660" s="8" t="s">
        <v>5159</v>
      </c>
      <c r="I660" s="3">
        <v>32</v>
      </c>
      <c r="J660" s="3" t="s">
        <v>5404</v>
      </c>
      <c r="K660" s="17" t="str">
        <f>HYPERLINK("http://ictvonline.org/taxonomyHistory.asp?taxnode_id=20175522","ICTVonline=20175522")</f>
        <v>ICTVonline=20175522</v>
      </c>
      <c r="L660" s="3">
        <v>659</v>
      </c>
    </row>
    <row r="661" spans="1:12" x14ac:dyDescent="0.15">
      <c r="A661" s="1" t="s">
        <v>1341</v>
      </c>
      <c r="B661" s="1" t="s">
        <v>904</v>
      </c>
      <c r="C661" s="1" t="s">
        <v>5401</v>
      </c>
      <c r="D661" s="1" t="s">
        <v>5410</v>
      </c>
      <c r="E661" s="1" t="s">
        <v>5416</v>
      </c>
      <c r="F661" s="3">
        <v>0</v>
      </c>
      <c r="G661" s="8" t="s">
        <v>2771</v>
      </c>
      <c r="H661" s="8" t="s">
        <v>5159</v>
      </c>
      <c r="I661" s="3">
        <v>32</v>
      </c>
      <c r="J661" s="3" t="s">
        <v>5404</v>
      </c>
      <c r="K661" s="17" t="str">
        <f>HYPERLINK("http://ictvonline.org/taxonomyHistory.asp?taxnode_id=20175525","ICTVonline=20175525")</f>
        <v>ICTVonline=20175525</v>
      </c>
      <c r="L661" s="3">
        <v>660</v>
      </c>
    </row>
    <row r="662" spans="1:12" x14ac:dyDescent="0.15">
      <c r="A662" s="1" t="s">
        <v>1341</v>
      </c>
      <c r="B662" s="1" t="s">
        <v>904</v>
      </c>
      <c r="C662" s="1" t="s">
        <v>4288</v>
      </c>
      <c r="D662" s="1" t="s">
        <v>4289</v>
      </c>
      <c r="E662" s="1" t="s">
        <v>3469</v>
      </c>
      <c r="F662" s="3">
        <v>1</v>
      </c>
      <c r="G662" s="8" t="s">
        <v>2771</v>
      </c>
      <c r="H662" s="8" t="s">
        <v>5161</v>
      </c>
      <c r="I662" s="3">
        <v>31</v>
      </c>
      <c r="J662" s="3" t="s">
        <v>5417</v>
      </c>
      <c r="K662" s="17" t="str">
        <f>HYPERLINK("http://ictvonline.org/taxonomyHistory.asp?taxnode_id=20170789","ICTVonline=20170789")</f>
        <v>ICTVonline=20170789</v>
      </c>
      <c r="L662" s="3">
        <v>661</v>
      </c>
    </row>
    <row r="663" spans="1:12" x14ac:dyDescent="0.15">
      <c r="A663" s="1" t="s">
        <v>1341</v>
      </c>
      <c r="B663" s="1" t="s">
        <v>904</v>
      </c>
      <c r="C663" s="1" t="s">
        <v>4288</v>
      </c>
      <c r="D663" s="1" t="s">
        <v>3468</v>
      </c>
      <c r="E663" s="1" t="s">
        <v>3470</v>
      </c>
      <c r="F663" s="3">
        <v>1</v>
      </c>
      <c r="G663" s="8" t="s">
        <v>2771</v>
      </c>
      <c r="H663" s="8" t="s">
        <v>5161</v>
      </c>
      <c r="I663" s="3">
        <v>31</v>
      </c>
      <c r="J663" s="3" t="s">
        <v>5417</v>
      </c>
      <c r="K663" s="17" t="str">
        <f>HYPERLINK("http://ictvonline.org/taxonomyHistory.asp?taxnode_id=20170791","ICTVonline=20170791")</f>
        <v>ICTVonline=20170791</v>
      </c>
      <c r="L663" s="3">
        <v>662</v>
      </c>
    </row>
    <row r="664" spans="1:12" x14ac:dyDescent="0.15">
      <c r="A664" s="1" t="s">
        <v>1341</v>
      </c>
      <c r="B664" s="1" t="s">
        <v>904</v>
      </c>
      <c r="C664" s="1" t="s">
        <v>5418</v>
      </c>
      <c r="D664" s="1" t="s">
        <v>5419</v>
      </c>
      <c r="E664" s="1" t="s">
        <v>5420</v>
      </c>
      <c r="F664" s="3">
        <v>1</v>
      </c>
      <c r="G664" s="8" t="s">
        <v>2771</v>
      </c>
      <c r="H664" s="8" t="s">
        <v>5159</v>
      </c>
      <c r="I664" s="3">
        <v>32</v>
      </c>
      <c r="J664" s="3" t="s">
        <v>5421</v>
      </c>
      <c r="K664" s="17" t="str">
        <f>HYPERLINK("http://ictvonline.org/taxonomyHistory.asp?taxnode_id=20175528","ICTVonline=20175528")</f>
        <v>ICTVonline=20175528</v>
      </c>
      <c r="L664" s="3">
        <v>663</v>
      </c>
    </row>
    <row r="665" spans="1:12" x14ac:dyDescent="0.15">
      <c r="A665" s="1" t="s">
        <v>1341</v>
      </c>
      <c r="B665" s="1" t="s">
        <v>904</v>
      </c>
      <c r="C665" s="1" t="s">
        <v>5418</v>
      </c>
      <c r="D665" s="1" t="s">
        <v>5419</v>
      </c>
      <c r="E665" s="1" t="s">
        <v>5422</v>
      </c>
      <c r="F665" s="3">
        <v>0</v>
      </c>
      <c r="G665" s="8" t="s">
        <v>2771</v>
      </c>
      <c r="H665" s="8" t="s">
        <v>5159</v>
      </c>
      <c r="I665" s="3">
        <v>32</v>
      </c>
      <c r="J665" s="3" t="s">
        <v>5421</v>
      </c>
      <c r="K665" s="17" t="str">
        <f>HYPERLINK("http://ictvonline.org/taxonomyHistory.asp?taxnode_id=20175529","ICTVonline=20175529")</f>
        <v>ICTVonline=20175529</v>
      </c>
      <c r="L665" s="3">
        <v>664</v>
      </c>
    </row>
    <row r="666" spans="1:12" x14ac:dyDescent="0.15">
      <c r="A666" s="1" t="s">
        <v>1341</v>
      </c>
      <c r="B666" s="1" t="s">
        <v>904</v>
      </c>
      <c r="C666" s="1" t="s">
        <v>5418</v>
      </c>
      <c r="D666" s="1" t="s">
        <v>3228</v>
      </c>
      <c r="E666" s="1" t="s">
        <v>3229</v>
      </c>
      <c r="F666" s="3">
        <v>1</v>
      </c>
      <c r="G666" s="8" t="s">
        <v>2771</v>
      </c>
      <c r="H666" s="8" t="s">
        <v>5161</v>
      </c>
      <c r="I666" s="3">
        <v>32</v>
      </c>
      <c r="J666" s="3" t="s">
        <v>5421</v>
      </c>
      <c r="K666" s="17" t="str">
        <f>HYPERLINK("http://ictvonline.org/taxonomyHistory.asp?taxnode_id=20170888","ICTVonline=20170888")</f>
        <v>ICTVonline=20170888</v>
      </c>
      <c r="L666" s="3">
        <v>665</v>
      </c>
    </row>
    <row r="667" spans="1:12" x14ac:dyDescent="0.15">
      <c r="A667" s="1" t="s">
        <v>1341</v>
      </c>
      <c r="B667" s="1" t="s">
        <v>904</v>
      </c>
      <c r="C667" s="1" t="s">
        <v>5418</v>
      </c>
      <c r="D667" s="1" t="s">
        <v>3228</v>
      </c>
      <c r="E667" s="1" t="s">
        <v>5423</v>
      </c>
      <c r="F667" s="3">
        <v>0</v>
      </c>
      <c r="G667" s="8" t="s">
        <v>2771</v>
      </c>
      <c r="H667" s="8" t="s">
        <v>5159</v>
      </c>
      <c r="I667" s="3">
        <v>32</v>
      </c>
      <c r="J667" s="3" t="s">
        <v>5421</v>
      </c>
      <c r="K667" s="17" t="str">
        <f>HYPERLINK("http://ictvonline.org/taxonomyHistory.asp?taxnode_id=20175531","ICTVonline=20175531")</f>
        <v>ICTVonline=20175531</v>
      </c>
      <c r="L667" s="3">
        <v>666</v>
      </c>
    </row>
    <row r="668" spans="1:12" x14ac:dyDescent="0.15">
      <c r="A668" s="1" t="s">
        <v>1341</v>
      </c>
      <c r="B668" s="1" t="s">
        <v>904</v>
      </c>
      <c r="C668" s="1" t="s">
        <v>5418</v>
      </c>
      <c r="D668" s="1" t="s">
        <v>3228</v>
      </c>
      <c r="E668" s="1" t="s">
        <v>5424</v>
      </c>
      <c r="F668" s="3">
        <v>0</v>
      </c>
      <c r="G668" s="8" t="s">
        <v>2771</v>
      </c>
      <c r="H668" s="8" t="s">
        <v>5159</v>
      </c>
      <c r="I668" s="3">
        <v>32</v>
      </c>
      <c r="J668" s="3" t="s">
        <v>5421</v>
      </c>
      <c r="K668" s="17" t="str">
        <f>HYPERLINK("http://ictvonline.org/taxonomyHistory.asp?taxnode_id=20175532","ICTVonline=20175532")</f>
        <v>ICTVonline=20175532</v>
      </c>
      <c r="L668" s="3">
        <v>667</v>
      </c>
    </row>
    <row r="669" spans="1:12" x14ac:dyDescent="0.15">
      <c r="A669" s="1" t="s">
        <v>1341</v>
      </c>
      <c r="B669" s="1" t="s">
        <v>904</v>
      </c>
      <c r="C669" s="1" t="s">
        <v>5418</v>
      </c>
      <c r="D669" s="1" t="s">
        <v>5425</v>
      </c>
      <c r="E669" s="1" t="s">
        <v>5426</v>
      </c>
      <c r="F669" s="3">
        <v>0</v>
      </c>
      <c r="G669" s="8" t="s">
        <v>2771</v>
      </c>
      <c r="H669" s="8" t="s">
        <v>5159</v>
      </c>
      <c r="I669" s="3">
        <v>32</v>
      </c>
      <c r="J669" s="3" t="s">
        <v>5421</v>
      </c>
      <c r="K669" s="17" t="str">
        <f>HYPERLINK("http://ictvonline.org/taxonomyHistory.asp?taxnode_id=20175533","ICTVonline=20175533")</f>
        <v>ICTVonline=20175533</v>
      </c>
      <c r="L669" s="3">
        <v>668</v>
      </c>
    </row>
    <row r="670" spans="1:12" x14ac:dyDescent="0.15">
      <c r="A670" s="1" t="s">
        <v>1341</v>
      </c>
      <c r="B670" s="1" t="s">
        <v>904</v>
      </c>
      <c r="C670" s="1" t="s">
        <v>5418</v>
      </c>
      <c r="D670" s="1" t="s">
        <v>5425</v>
      </c>
      <c r="E670" s="1" t="s">
        <v>5427</v>
      </c>
      <c r="F670" s="3">
        <v>0</v>
      </c>
      <c r="G670" s="8" t="s">
        <v>2771</v>
      </c>
      <c r="H670" s="8" t="s">
        <v>5159</v>
      </c>
      <c r="I670" s="3">
        <v>32</v>
      </c>
      <c r="J670" s="3" t="s">
        <v>5421</v>
      </c>
      <c r="K670" s="17" t="str">
        <f>HYPERLINK("http://ictvonline.org/taxonomyHistory.asp?taxnode_id=20175534","ICTVonline=20175534")</f>
        <v>ICTVonline=20175534</v>
      </c>
      <c r="L670" s="3">
        <v>669</v>
      </c>
    </row>
    <row r="671" spans="1:12" x14ac:dyDescent="0.15">
      <c r="A671" s="1" t="s">
        <v>1341</v>
      </c>
      <c r="B671" s="1" t="s">
        <v>904</v>
      </c>
      <c r="C671" s="1" t="s">
        <v>5418</v>
      </c>
      <c r="D671" s="1" t="s">
        <v>5425</v>
      </c>
      <c r="E671" s="1" t="s">
        <v>3230</v>
      </c>
      <c r="F671" s="3">
        <v>1</v>
      </c>
      <c r="G671" s="8" t="s">
        <v>2771</v>
      </c>
      <c r="H671" s="8" t="s">
        <v>5161</v>
      </c>
      <c r="I671" s="3">
        <v>32</v>
      </c>
      <c r="J671" s="3" t="s">
        <v>5421</v>
      </c>
      <c r="K671" s="17" t="str">
        <f>HYPERLINK("http://ictvonline.org/taxonomyHistory.asp?taxnode_id=20170889","ICTVonline=20170889")</f>
        <v>ICTVonline=20170889</v>
      </c>
      <c r="L671" s="3">
        <v>670</v>
      </c>
    </row>
    <row r="672" spans="1:12" x14ac:dyDescent="0.15">
      <c r="A672" s="1" t="s">
        <v>1341</v>
      </c>
      <c r="B672" s="1" t="s">
        <v>904</v>
      </c>
      <c r="C672" s="1" t="s">
        <v>5418</v>
      </c>
      <c r="D672" s="1" t="s">
        <v>5425</v>
      </c>
      <c r="E672" s="1" t="s">
        <v>5428</v>
      </c>
      <c r="F672" s="3">
        <v>0</v>
      </c>
      <c r="G672" s="8" t="s">
        <v>2771</v>
      </c>
      <c r="H672" s="8" t="s">
        <v>5159</v>
      </c>
      <c r="I672" s="3">
        <v>32</v>
      </c>
      <c r="J672" s="3" t="s">
        <v>5421</v>
      </c>
      <c r="K672" s="17" t="str">
        <f>HYPERLINK("http://ictvonline.org/taxonomyHistory.asp?taxnode_id=20175535","ICTVonline=20175535")</f>
        <v>ICTVonline=20175535</v>
      </c>
      <c r="L672" s="3">
        <v>671</v>
      </c>
    </row>
    <row r="673" spans="1:12" x14ac:dyDescent="0.15">
      <c r="A673" s="1" t="s">
        <v>1341</v>
      </c>
      <c r="B673" s="1" t="s">
        <v>904</v>
      </c>
      <c r="C673" s="1" t="s">
        <v>5429</v>
      </c>
      <c r="D673" s="1" t="s">
        <v>5430</v>
      </c>
      <c r="E673" s="1" t="s">
        <v>5431</v>
      </c>
      <c r="F673" s="3">
        <v>1</v>
      </c>
      <c r="G673" s="8" t="s">
        <v>2771</v>
      </c>
      <c r="H673" s="8" t="s">
        <v>5159</v>
      </c>
      <c r="I673" s="3">
        <v>32</v>
      </c>
      <c r="J673" s="3" t="s">
        <v>5432</v>
      </c>
      <c r="K673" s="17" t="str">
        <f>HYPERLINK("http://ictvonline.org/taxonomyHistory.asp?taxnode_id=20175498","ICTVonline=20175498")</f>
        <v>ICTVonline=20175498</v>
      </c>
      <c r="L673" s="3">
        <v>672</v>
      </c>
    </row>
    <row r="674" spans="1:12" x14ac:dyDescent="0.15">
      <c r="A674" s="1" t="s">
        <v>1341</v>
      </c>
      <c r="B674" s="1" t="s">
        <v>904</v>
      </c>
      <c r="C674" s="1" t="s">
        <v>5429</v>
      </c>
      <c r="D674" s="1" t="s">
        <v>5430</v>
      </c>
      <c r="E674" s="1" t="s">
        <v>5433</v>
      </c>
      <c r="F674" s="3">
        <v>0</v>
      </c>
      <c r="G674" s="8" t="s">
        <v>2771</v>
      </c>
      <c r="H674" s="8" t="s">
        <v>5159</v>
      </c>
      <c r="I674" s="3">
        <v>32</v>
      </c>
      <c r="J674" s="3" t="s">
        <v>5432</v>
      </c>
      <c r="K674" s="17" t="str">
        <f>HYPERLINK("http://ictvonline.org/taxonomyHistory.asp?taxnode_id=20175499","ICTVonline=20175499")</f>
        <v>ICTVonline=20175499</v>
      </c>
      <c r="L674" s="3">
        <v>673</v>
      </c>
    </row>
    <row r="675" spans="1:12" x14ac:dyDescent="0.15">
      <c r="A675" s="1" t="s">
        <v>1341</v>
      </c>
      <c r="B675" s="1" t="s">
        <v>904</v>
      </c>
      <c r="C675" s="1" t="s">
        <v>5429</v>
      </c>
      <c r="D675" s="1" t="s">
        <v>5434</v>
      </c>
      <c r="E675" s="1" t="s">
        <v>5435</v>
      </c>
      <c r="F675" s="3">
        <v>0</v>
      </c>
      <c r="G675" s="8" t="s">
        <v>2771</v>
      </c>
      <c r="H675" s="8" t="s">
        <v>5159</v>
      </c>
      <c r="I675" s="3">
        <v>32</v>
      </c>
      <c r="J675" s="3" t="s">
        <v>5432</v>
      </c>
      <c r="K675" s="17" t="str">
        <f>HYPERLINK("http://ictvonline.org/taxonomyHistory.asp?taxnode_id=20175501","ICTVonline=20175501")</f>
        <v>ICTVonline=20175501</v>
      </c>
      <c r="L675" s="3">
        <v>674</v>
      </c>
    </row>
    <row r="676" spans="1:12" x14ac:dyDescent="0.15">
      <c r="A676" s="1" t="s">
        <v>1341</v>
      </c>
      <c r="B676" s="1" t="s">
        <v>904</v>
      </c>
      <c r="C676" s="1" t="s">
        <v>5429</v>
      </c>
      <c r="D676" s="1" t="s">
        <v>5434</v>
      </c>
      <c r="E676" s="1" t="s">
        <v>5436</v>
      </c>
      <c r="F676" s="3">
        <v>0</v>
      </c>
      <c r="G676" s="8" t="s">
        <v>2771</v>
      </c>
      <c r="H676" s="8" t="s">
        <v>5159</v>
      </c>
      <c r="I676" s="3">
        <v>32</v>
      </c>
      <c r="J676" s="3" t="s">
        <v>5432</v>
      </c>
      <c r="K676" s="17" t="str">
        <f>HYPERLINK("http://ictvonline.org/taxonomyHistory.asp?taxnode_id=20175502","ICTVonline=20175502")</f>
        <v>ICTVonline=20175502</v>
      </c>
      <c r="L676" s="3">
        <v>675</v>
      </c>
    </row>
    <row r="677" spans="1:12" x14ac:dyDescent="0.15">
      <c r="A677" s="1" t="s">
        <v>1341</v>
      </c>
      <c r="B677" s="1" t="s">
        <v>904</v>
      </c>
      <c r="C677" s="1" t="s">
        <v>5429</v>
      </c>
      <c r="D677" s="1" t="s">
        <v>5434</v>
      </c>
      <c r="E677" s="1" t="s">
        <v>5437</v>
      </c>
      <c r="F677" s="3">
        <v>1</v>
      </c>
      <c r="G677" s="8" t="s">
        <v>2771</v>
      </c>
      <c r="H677" s="8" t="s">
        <v>5159</v>
      </c>
      <c r="I677" s="3">
        <v>32</v>
      </c>
      <c r="J677" s="3" t="s">
        <v>5432</v>
      </c>
      <c r="K677" s="17" t="str">
        <f>HYPERLINK("http://ictvonline.org/taxonomyHistory.asp?taxnode_id=20175503","ICTVonline=20175503")</f>
        <v>ICTVonline=20175503</v>
      </c>
      <c r="L677" s="3">
        <v>676</v>
      </c>
    </row>
    <row r="678" spans="1:12" x14ac:dyDescent="0.15">
      <c r="A678" s="1" t="s">
        <v>1341</v>
      </c>
      <c r="B678" s="1" t="s">
        <v>904</v>
      </c>
      <c r="C678" s="1" t="s">
        <v>4290</v>
      </c>
      <c r="D678" s="1" t="s">
        <v>3201</v>
      </c>
      <c r="E678" s="1" t="s">
        <v>3202</v>
      </c>
      <c r="F678" s="3">
        <v>1</v>
      </c>
      <c r="G678" s="8" t="s">
        <v>2771</v>
      </c>
      <c r="H678" s="8" t="s">
        <v>5161</v>
      </c>
      <c r="I678" s="3">
        <v>31</v>
      </c>
      <c r="J678" s="3" t="s">
        <v>5438</v>
      </c>
      <c r="K678" s="17" t="str">
        <f>HYPERLINK("http://ictvonline.org/taxonomyHistory.asp?taxnode_id=20170794","ICTVonline=20170794")</f>
        <v>ICTVonline=20170794</v>
      </c>
      <c r="L678" s="3">
        <v>677</v>
      </c>
    </row>
    <row r="679" spans="1:12" x14ac:dyDescent="0.15">
      <c r="A679" s="1" t="s">
        <v>1341</v>
      </c>
      <c r="B679" s="1" t="s">
        <v>904</v>
      </c>
      <c r="C679" s="1" t="s">
        <v>4290</v>
      </c>
      <c r="D679" s="1" t="s">
        <v>4291</v>
      </c>
      <c r="E679" s="1" t="s">
        <v>4543</v>
      </c>
      <c r="F679" s="3">
        <v>0</v>
      </c>
      <c r="G679" s="8" t="s">
        <v>2771</v>
      </c>
      <c r="H679" s="8" t="s">
        <v>5159</v>
      </c>
      <c r="I679" s="3">
        <v>31</v>
      </c>
      <c r="J679" s="3" t="s">
        <v>5438</v>
      </c>
      <c r="K679" s="17" t="str">
        <f>HYPERLINK("http://ictvonline.org/taxonomyHistory.asp?taxnode_id=20170796","ICTVonline=20170796")</f>
        <v>ICTVonline=20170796</v>
      </c>
      <c r="L679" s="3">
        <v>678</v>
      </c>
    </row>
    <row r="680" spans="1:12" x14ac:dyDescent="0.15">
      <c r="A680" s="1" t="s">
        <v>1341</v>
      </c>
      <c r="B680" s="1" t="s">
        <v>904</v>
      </c>
      <c r="C680" s="1" t="s">
        <v>4290</v>
      </c>
      <c r="D680" s="1" t="s">
        <v>4291</v>
      </c>
      <c r="E680" s="1" t="s">
        <v>4544</v>
      </c>
      <c r="F680" s="3">
        <v>0</v>
      </c>
      <c r="G680" s="8" t="s">
        <v>2771</v>
      </c>
      <c r="H680" s="8" t="s">
        <v>5159</v>
      </c>
      <c r="I680" s="3">
        <v>31</v>
      </c>
      <c r="J680" s="3" t="s">
        <v>5438</v>
      </c>
      <c r="K680" s="17" t="str">
        <f>HYPERLINK("http://ictvonline.org/taxonomyHistory.asp?taxnode_id=20170797","ICTVonline=20170797")</f>
        <v>ICTVonline=20170797</v>
      </c>
      <c r="L680" s="3">
        <v>679</v>
      </c>
    </row>
    <row r="681" spans="1:12" x14ac:dyDescent="0.15">
      <c r="A681" s="1" t="s">
        <v>1341</v>
      </c>
      <c r="B681" s="1" t="s">
        <v>904</v>
      </c>
      <c r="C681" s="1" t="s">
        <v>4290</v>
      </c>
      <c r="D681" s="1" t="s">
        <v>4291</v>
      </c>
      <c r="E681" s="1" t="s">
        <v>4545</v>
      </c>
      <c r="F681" s="3">
        <v>1</v>
      </c>
      <c r="G681" s="8" t="s">
        <v>2771</v>
      </c>
      <c r="H681" s="8" t="s">
        <v>5159</v>
      </c>
      <c r="I681" s="3">
        <v>31</v>
      </c>
      <c r="J681" s="3" t="s">
        <v>5438</v>
      </c>
      <c r="K681" s="17" t="str">
        <f>HYPERLINK("http://ictvonline.org/taxonomyHistory.asp?taxnode_id=20170798","ICTVonline=20170798")</f>
        <v>ICTVonline=20170798</v>
      </c>
      <c r="L681" s="3">
        <v>680</v>
      </c>
    </row>
    <row r="682" spans="1:12" x14ac:dyDescent="0.15">
      <c r="A682" s="1" t="s">
        <v>1341</v>
      </c>
      <c r="B682" s="1" t="s">
        <v>904</v>
      </c>
      <c r="C682" s="1" t="s">
        <v>4290</v>
      </c>
      <c r="D682" s="1" t="s">
        <v>4291</v>
      </c>
      <c r="E682" s="1" t="s">
        <v>3203</v>
      </c>
      <c r="F682" s="3">
        <v>0</v>
      </c>
      <c r="G682" s="8" t="s">
        <v>2771</v>
      </c>
      <c r="H682" s="8" t="s">
        <v>5161</v>
      </c>
      <c r="I682" s="3">
        <v>31</v>
      </c>
      <c r="J682" s="3" t="s">
        <v>5438</v>
      </c>
      <c r="K682" s="17" t="str">
        <f>HYPERLINK("http://ictvonline.org/taxonomyHistory.asp?taxnode_id=20170799","ICTVonline=20170799")</f>
        <v>ICTVonline=20170799</v>
      </c>
      <c r="L682" s="3">
        <v>681</v>
      </c>
    </row>
    <row r="683" spans="1:12" x14ac:dyDescent="0.15">
      <c r="A683" s="1" t="s">
        <v>1341</v>
      </c>
      <c r="B683" s="1" t="s">
        <v>904</v>
      </c>
      <c r="C683" s="1" t="s">
        <v>4290</v>
      </c>
      <c r="D683" s="1" t="s">
        <v>4291</v>
      </c>
      <c r="E683" s="1" t="s">
        <v>4546</v>
      </c>
      <c r="F683" s="3">
        <v>0</v>
      </c>
      <c r="G683" s="8" t="s">
        <v>2771</v>
      </c>
      <c r="H683" s="8" t="s">
        <v>5159</v>
      </c>
      <c r="I683" s="3">
        <v>31</v>
      </c>
      <c r="J683" s="3" t="s">
        <v>5438</v>
      </c>
      <c r="K683" s="17" t="str">
        <f>HYPERLINK("http://ictvonline.org/taxonomyHistory.asp?taxnode_id=20170800","ICTVonline=20170800")</f>
        <v>ICTVonline=20170800</v>
      </c>
      <c r="L683" s="3">
        <v>682</v>
      </c>
    </row>
    <row r="684" spans="1:12" x14ac:dyDescent="0.15">
      <c r="A684" s="1" t="s">
        <v>1341</v>
      </c>
      <c r="B684" s="1" t="s">
        <v>904</v>
      </c>
      <c r="C684" s="1" t="s">
        <v>4290</v>
      </c>
      <c r="D684" s="1" t="s">
        <v>4547</v>
      </c>
      <c r="E684" s="1" t="s">
        <v>4548</v>
      </c>
      <c r="F684" s="3">
        <v>1</v>
      </c>
      <c r="G684" s="8" t="s">
        <v>2771</v>
      </c>
      <c r="H684" s="8" t="s">
        <v>5159</v>
      </c>
      <c r="I684" s="3">
        <v>31</v>
      </c>
      <c r="J684" s="3" t="s">
        <v>5438</v>
      </c>
      <c r="K684" s="17" t="str">
        <f>HYPERLINK("http://ictvonline.org/taxonomyHistory.asp?taxnode_id=20170802","ICTVonline=20170802")</f>
        <v>ICTVonline=20170802</v>
      </c>
      <c r="L684" s="3">
        <v>683</v>
      </c>
    </row>
    <row r="685" spans="1:12" x14ac:dyDescent="0.15">
      <c r="A685" s="1" t="s">
        <v>1341</v>
      </c>
      <c r="B685" s="1" t="s">
        <v>904</v>
      </c>
      <c r="C685" s="1" t="s">
        <v>3160</v>
      </c>
      <c r="D685" s="1" t="s">
        <v>3161</v>
      </c>
      <c r="E685" s="1" t="s">
        <v>3162</v>
      </c>
      <c r="F685" s="3">
        <v>0</v>
      </c>
      <c r="G685" s="8" t="s">
        <v>2771</v>
      </c>
      <c r="H685" s="8" t="s">
        <v>5160</v>
      </c>
      <c r="I685" s="3">
        <v>30</v>
      </c>
      <c r="J685" s="3" t="s">
        <v>5439</v>
      </c>
      <c r="K685" s="17" t="str">
        <f>HYPERLINK("http://ictvonline.org/taxonomyHistory.asp?taxnode_id=20170805","ICTVonline=20170805")</f>
        <v>ICTVonline=20170805</v>
      </c>
      <c r="L685" s="3">
        <v>684</v>
      </c>
    </row>
    <row r="686" spans="1:12" x14ac:dyDescent="0.15">
      <c r="A686" s="1" t="s">
        <v>1341</v>
      </c>
      <c r="B686" s="1" t="s">
        <v>904</v>
      </c>
      <c r="C686" s="1" t="s">
        <v>3160</v>
      </c>
      <c r="D686" s="1" t="s">
        <v>3161</v>
      </c>
      <c r="E686" s="1" t="s">
        <v>3163</v>
      </c>
      <c r="F686" s="3">
        <v>0</v>
      </c>
      <c r="G686" s="8" t="s">
        <v>2771</v>
      </c>
      <c r="H686" s="8" t="s">
        <v>5159</v>
      </c>
      <c r="I686" s="3">
        <v>30</v>
      </c>
      <c r="J686" s="3" t="s">
        <v>5439</v>
      </c>
      <c r="K686" s="17" t="str">
        <f>HYPERLINK("http://ictvonline.org/taxonomyHistory.asp?taxnode_id=20170806","ICTVonline=20170806")</f>
        <v>ICTVonline=20170806</v>
      </c>
      <c r="L686" s="3">
        <v>685</v>
      </c>
    </row>
    <row r="687" spans="1:12" x14ac:dyDescent="0.15">
      <c r="A687" s="1" t="s">
        <v>1341</v>
      </c>
      <c r="B687" s="1" t="s">
        <v>904</v>
      </c>
      <c r="C687" s="1" t="s">
        <v>3160</v>
      </c>
      <c r="D687" s="1" t="s">
        <v>3161</v>
      </c>
      <c r="E687" s="1" t="s">
        <v>4549</v>
      </c>
      <c r="F687" s="3">
        <v>0</v>
      </c>
      <c r="G687" s="8" t="s">
        <v>2771</v>
      </c>
      <c r="H687" s="8" t="s">
        <v>5159</v>
      </c>
      <c r="I687" s="3">
        <v>31</v>
      </c>
      <c r="J687" s="3" t="s">
        <v>5298</v>
      </c>
      <c r="K687" s="17" t="str">
        <f>HYPERLINK("http://ictvonline.org/taxonomyHistory.asp?taxnode_id=20170807","ICTVonline=20170807")</f>
        <v>ICTVonline=20170807</v>
      </c>
      <c r="L687" s="3">
        <v>686</v>
      </c>
    </row>
    <row r="688" spans="1:12" x14ac:dyDescent="0.15">
      <c r="A688" s="1" t="s">
        <v>1341</v>
      </c>
      <c r="B688" s="1" t="s">
        <v>904</v>
      </c>
      <c r="C688" s="1" t="s">
        <v>3160</v>
      </c>
      <c r="D688" s="1" t="s">
        <v>3161</v>
      </c>
      <c r="E688" s="1" t="s">
        <v>3164</v>
      </c>
      <c r="F688" s="3">
        <v>1</v>
      </c>
      <c r="G688" s="8" t="s">
        <v>2771</v>
      </c>
      <c r="H688" s="8" t="s">
        <v>5159</v>
      </c>
      <c r="I688" s="3">
        <v>30</v>
      </c>
      <c r="J688" s="3" t="s">
        <v>5439</v>
      </c>
      <c r="K688" s="17" t="str">
        <f>HYPERLINK("http://ictvonline.org/taxonomyHistory.asp?taxnode_id=20170808","ICTVonline=20170808")</f>
        <v>ICTVonline=20170808</v>
      </c>
      <c r="L688" s="3">
        <v>687</v>
      </c>
    </row>
    <row r="689" spans="1:12" x14ac:dyDescent="0.15">
      <c r="A689" s="1" t="s">
        <v>1341</v>
      </c>
      <c r="B689" s="1" t="s">
        <v>904</v>
      </c>
      <c r="C689" s="1" t="s">
        <v>3160</v>
      </c>
      <c r="D689" s="1" t="s">
        <v>3161</v>
      </c>
      <c r="E689" s="1" t="s">
        <v>4550</v>
      </c>
      <c r="F689" s="3">
        <v>0</v>
      </c>
      <c r="G689" s="8" t="s">
        <v>2771</v>
      </c>
      <c r="H689" s="8" t="s">
        <v>5159</v>
      </c>
      <c r="I689" s="3">
        <v>31</v>
      </c>
      <c r="J689" s="3" t="s">
        <v>5298</v>
      </c>
      <c r="K689" s="17" t="str">
        <f>HYPERLINK("http://ictvonline.org/taxonomyHistory.asp?taxnode_id=20170809","ICTVonline=20170809")</f>
        <v>ICTVonline=20170809</v>
      </c>
      <c r="L689" s="3">
        <v>688</v>
      </c>
    </row>
    <row r="690" spans="1:12" x14ac:dyDescent="0.15">
      <c r="A690" s="1" t="s">
        <v>1341</v>
      </c>
      <c r="B690" s="1" t="s">
        <v>904</v>
      </c>
      <c r="C690" s="1" t="s">
        <v>3160</v>
      </c>
      <c r="D690" s="1" t="s">
        <v>3161</v>
      </c>
      <c r="E690" s="1" t="s">
        <v>4551</v>
      </c>
      <c r="F690" s="3">
        <v>0</v>
      </c>
      <c r="G690" s="8" t="s">
        <v>2771</v>
      </c>
      <c r="H690" s="8" t="s">
        <v>5159</v>
      </c>
      <c r="I690" s="3">
        <v>31</v>
      </c>
      <c r="J690" s="3" t="s">
        <v>5298</v>
      </c>
      <c r="K690" s="17" t="str">
        <f>HYPERLINK("http://ictvonline.org/taxonomyHistory.asp?taxnode_id=20170810","ICTVonline=20170810")</f>
        <v>ICTVonline=20170810</v>
      </c>
      <c r="L690" s="3">
        <v>689</v>
      </c>
    </row>
    <row r="691" spans="1:12" x14ac:dyDescent="0.15">
      <c r="A691" s="1" t="s">
        <v>1341</v>
      </c>
      <c r="B691" s="1" t="s">
        <v>904</v>
      </c>
      <c r="C691" s="1" t="s">
        <v>3160</v>
      </c>
      <c r="D691" s="1" t="s">
        <v>3165</v>
      </c>
      <c r="E691" s="1" t="s">
        <v>3166</v>
      </c>
      <c r="F691" s="3">
        <v>0</v>
      </c>
      <c r="G691" s="8" t="s">
        <v>2771</v>
      </c>
      <c r="H691" s="8" t="s">
        <v>5159</v>
      </c>
      <c r="I691" s="3">
        <v>30</v>
      </c>
      <c r="J691" s="3" t="s">
        <v>5439</v>
      </c>
      <c r="K691" s="17" t="str">
        <f>HYPERLINK("http://ictvonline.org/taxonomyHistory.asp?taxnode_id=20170812","ICTVonline=20170812")</f>
        <v>ICTVonline=20170812</v>
      </c>
      <c r="L691" s="3">
        <v>690</v>
      </c>
    </row>
    <row r="692" spans="1:12" x14ac:dyDescent="0.15">
      <c r="A692" s="1" t="s">
        <v>1341</v>
      </c>
      <c r="B692" s="1" t="s">
        <v>904</v>
      </c>
      <c r="C692" s="1" t="s">
        <v>3160</v>
      </c>
      <c r="D692" s="1" t="s">
        <v>3165</v>
      </c>
      <c r="E692" s="1" t="s">
        <v>3167</v>
      </c>
      <c r="F692" s="3">
        <v>0</v>
      </c>
      <c r="G692" s="8" t="s">
        <v>2771</v>
      </c>
      <c r="H692" s="8" t="s">
        <v>5159</v>
      </c>
      <c r="I692" s="3">
        <v>30</v>
      </c>
      <c r="J692" s="3" t="s">
        <v>5439</v>
      </c>
      <c r="K692" s="17" t="str">
        <f>HYPERLINK("http://ictvonline.org/taxonomyHistory.asp?taxnode_id=20170813","ICTVonline=20170813")</f>
        <v>ICTVonline=20170813</v>
      </c>
      <c r="L692" s="3">
        <v>691</v>
      </c>
    </row>
    <row r="693" spans="1:12" x14ac:dyDescent="0.15">
      <c r="A693" s="1" t="s">
        <v>1341</v>
      </c>
      <c r="B693" s="1" t="s">
        <v>904</v>
      </c>
      <c r="C693" s="1" t="s">
        <v>3160</v>
      </c>
      <c r="D693" s="1" t="s">
        <v>3165</v>
      </c>
      <c r="E693" s="1" t="s">
        <v>3168</v>
      </c>
      <c r="F693" s="3">
        <v>0</v>
      </c>
      <c r="G693" s="8" t="s">
        <v>2771</v>
      </c>
      <c r="H693" s="8" t="s">
        <v>5159</v>
      </c>
      <c r="I693" s="3">
        <v>30</v>
      </c>
      <c r="J693" s="3" t="s">
        <v>5439</v>
      </c>
      <c r="K693" s="17" t="str">
        <f>HYPERLINK("http://ictvonline.org/taxonomyHistory.asp?taxnode_id=20170814","ICTVonline=20170814")</f>
        <v>ICTVonline=20170814</v>
      </c>
      <c r="L693" s="3">
        <v>692</v>
      </c>
    </row>
    <row r="694" spans="1:12" x14ac:dyDescent="0.15">
      <c r="A694" s="1" t="s">
        <v>1341</v>
      </c>
      <c r="B694" s="1" t="s">
        <v>904</v>
      </c>
      <c r="C694" s="1" t="s">
        <v>3160</v>
      </c>
      <c r="D694" s="1" t="s">
        <v>3165</v>
      </c>
      <c r="E694" s="1" t="s">
        <v>4552</v>
      </c>
      <c r="F694" s="3">
        <v>0</v>
      </c>
      <c r="G694" s="8" t="s">
        <v>2771</v>
      </c>
      <c r="H694" s="8" t="s">
        <v>5159</v>
      </c>
      <c r="I694" s="3">
        <v>31</v>
      </c>
      <c r="J694" s="3" t="s">
        <v>5298</v>
      </c>
      <c r="K694" s="17" t="str">
        <f>HYPERLINK("http://ictvonline.org/taxonomyHistory.asp?taxnode_id=20170815","ICTVonline=20170815")</f>
        <v>ICTVonline=20170815</v>
      </c>
      <c r="L694" s="3">
        <v>693</v>
      </c>
    </row>
    <row r="695" spans="1:12" x14ac:dyDescent="0.15">
      <c r="A695" s="1" t="s">
        <v>1341</v>
      </c>
      <c r="B695" s="1" t="s">
        <v>904</v>
      </c>
      <c r="C695" s="1" t="s">
        <v>3160</v>
      </c>
      <c r="D695" s="1" t="s">
        <v>3165</v>
      </c>
      <c r="E695" s="1" t="s">
        <v>3169</v>
      </c>
      <c r="F695" s="3">
        <v>0</v>
      </c>
      <c r="G695" s="8" t="s">
        <v>2771</v>
      </c>
      <c r="H695" s="8" t="s">
        <v>5159</v>
      </c>
      <c r="I695" s="3">
        <v>30</v>
      </c>
      <c r="J695" s="3" t="s">
        <v>5439</v>
      </c>
      <c r="K695" s="17" t="str">
        <f>HYPERLINK("http://ictvonline.org/taxonomyHistory.asp?taxnode_id=20170816","ICTVonline=20170816")</f>
        <v>ICTVonline=20170816</v>
      </c>
      <c r="L695" s="3">
        <v>694</v>
      </c>
    </row>
    <row r="696" spans="1:12" x14ac:dyDescent="0.15">
      <c r="A696" s="1" t="s">
        <v>1341</v>
      </c>
      <c r="B696" s="1" t="s">
        <v>904</v>
      </c>
      <c r="C696" s="1" t="s">
        <v>3160</v>
      </c>
      <c r="D696" s="1" t="s">
        <v>3165</v>
      </c>
      <c r="E696" s="1" t="s">
        <v>3170</v>
      </c>
      <c r="F696" s="3">
        <v>0</v>
      </c>
      <c r="G696" s="8" t="s">
        <v>2771</v>
      </c>
      <c r="H696" s="8" t="s">
        <v>5160</v>
      </c>
      <c r="I696" s="3">
        <v>30</v>
      </c>
      <c r="J696" s="3" t="s">
        <v>5439</v>
      </c>
      <c r="K696" s="17" t="str">
        <f>HYPERLINK("http://ictvonline.org/taxonomyHistory.asp?taxnode_id=20170817","ICTVonline=20170817")</f>
        <v>ICTVonline=20170817</v>
      </c>
      <c r="L696" s="3">
        <v>695</v>
      </c>
    </row>
    <row r="697" spans="1:12" x14ac:dyDescent="0.15">
      <c r="A697" s="1" t="s">
        <v>1341</v>
      </c>
      <c r="B697" s="1" t="s">
        <v>904</v>
      </c>
      <c r="C697" s="1" t="s">
        <v>3160</v>
      </c>
      <c r="D697" s="1" t="s">
        <v>3165</v>
      </c>
      <c r="E697" s="1" t="s">
        <v>3171</v>
      </c>
      <c r="F697" s="3">
        <v>0</v>
      </c>
      <c r="G697" s="8" t="s">
        <v>2771</v>
      </c>
      <c r="H697" s="8" t="s">
        <v>5160</v>
      </c>
      <c r="I697" s="3">
        <v>30</v>
      </c>
      <c r="J697" s="3" t="s">
        <v>5439</v>
      </c>
      <c r="K697" s="17" t="str">
        <f>HYPERLINK("http://ictvonline.org/taxonomyHistory.asp?taxnode_id=20170818","ICTVonline=20170818")</f>
        <v>ICTVonline=20170818</v>
      </c>
      <c r="L697" s="3">
        <v>696</v>
      </c>
    </row>
    <row r="698" spans="1:12" x14ac:dyDescent="0.15">
      <c r="A698" s="1" t="s">
        <v>1341</v>
      </c>
      <c r="B698" s="1" t="s">
        <v>904</v>
      </c>
      <c r="C698" s="1" t="s">
        <v>3160</v>
      </c>
      <c r="D698" s="1" t="s">
        <v>3165</v>
      </c>
      <c r="E698" s="1" t="s">
        <v>3172</v>
      </c>
      <c r="F698" s="3">
        <v>0</v>
      </c>
      <c r="G698" s="8" t="s">
        <v>2771</v>
      </c>
      <c r="H698" s="8" t="s">
        <v>5159</v>
      </c>
      <c r="I698" s="3">
        <v>30</v>
      </c>
      <c r="J698" s="3" t="s">
        <v>5439</v>
      </c>
      <c r="K698" s="17" t="str">
        <f>HYPERLINK("http://ictvonline.org/taxonomyHistory.asp?taxnode_id=20170819","ICTVonline=20170819")</f>
        <v>ICTVonline=20170819</v>
      </c>
      <c r="L698" s="3">
        <v>697</v>
      </c>
    </row>
    <row r="699" spans="1:12" x14ac:dyDescent="0.15">
      <c r="A699" s="1" t="s">
        <v>1341</v>
      </c>
      <c r="B699" s="1" t="s">
        <v>904</v>
      </c>
      <c r="C699" s="1" t="s">
        <v>3160</v>
      </c>
      <c r="D699" s="1" t="s">
        <v>3165</v>
      </c>
      <c r="E699" s="1" t="s">
        <v>3173</v>
      </c>
      <c r="F699" s="3">
        <v>1</v>
      </c>
      <c r="G699" s="8" t="s">
        <v>2771</v>
      </c>
      <c r="H699" s="8" t="s">
        <v>5160</v>
      </c>
      <c r="I699" s="3">
        <v>30</v>
      </c>
      <c r="J699" s="3" t="s">
        <v>5439</v>
      </c>
      <c r="K699" s="17" t="str">
        <f>HYPERLINK("http://ictvonline.org/taxonomyHistory.asp?taxnode_id=20170820","ICTVonline=20170820")</f>
        <v>ICTVonline=20170820</v>
      </c>
      <c r="L699" s="3">
        <v>698</v>
      </c>
    </row>
    <row r="700" spans="1:12" x14ac:dyDescent="0.15">
      <c r="A700" s="1" t="s">
        <v>1341</v>
      </c>
      <c r="B700" s="1" t="s">
        <v>904</v>
      </c>
      <c r="C700" s="1" t="s">
        <v>3160</v>
      </c>
      <c r="D700" s="1" t="s">
        <v>3174</v>
      </c>
      <c r="E700" s="1" t="s">
        <v>3175</v>
      </c>
      <c r="F700" s="3">
        <v>0</v>
      </c>
      <c r="G700" s="8" t="s">
        <v>2771</v>
      </c>
      <c r="H700" s="8" t="s">
        <v>5159</v>
      </c>
      <c r="I700" s="3">
        <v>30</v>
      </c>
      <c r="J700" s="3" t="s">
        <v>5439</v>
      </c>
      <c r="K700" s="17" t="str">
        <f>HYPERLINK("http://ictvonline.org/taxonomyHistory.asp?taxnode_id=20170822","ICTVonline=20170822")</f>
        <v>ICTVonline=20170822</v>
      </c>
      <c r="L700" s="3">
        <v>699</v>
      </c>
    </row>
    <row r="701" spans="1:12" x14ac:dyDescent="0.15">
      <c r="A701" s="1" t="s">
        <v>1341</v>
      </c>
      <c r="B701" s="1" t="s">
        <v>904</v>
      </c>
      <c r="C701" s="1" t="s">
        <v>3160</v>
      </c>
      <c r="D701" s="1" t="s">
        <v>3174</v>
      </c>
      <c r="E701" s="1" t="s">
        <v>3176</v>
      </c>
      <c r="F701" s="3">
        <v>1</v>
      </c>
      <c r="G701" s="8" t="s">
        <v>2771</v>
      </c>
      <c r="H701" s="8" t="s">
        <v>5160</v>
      </c>
      <c r="I701" s="3">
        <v>30</v>
      </c>
      <c r="J701" s="3" t="s">
        <v>5439</v>
      </c>
      <c r="K701" s="17" t="str">
        <f>HYPERLINK("http://ictvonline.org/taxonomyHistory.asp?taxnode_id=20170823","ICTVonline=20170823")</f>
        <v>ICTVonline=20170823</v>
      </c>
      <c r="L701" s="3">
        <v>700</v>
      </c>
    </row>
    <row r="702" spans="1:12" x14ac:dyDescent="0.15">
      <c r="A702" s="1" t="s">
        <v>1341</v>
      </c>
      <c r="B702" s="1" t="s">
        <v>904</v>
      </c>
      <c r="C702" s="1" t="s">
        <v>3160</v>
      </c>
      <c r="D702" s="1" t="s">
        <v>3177</v>
      </c>
      <c r="E702" s="1" t="s">
        <v>3178</v>
      </c>
      <c r="F702" s="3">
        <v>0</v>
      </c>
      <c r="G702" s="8" t="s">
        <v>2771</v>
      </c>
      <c r="H702" s="8" t="s">
        <v>5159</v>
      </c>
      <c r="I702" s="3">
        <v>30</v>
      </c>
      <c r="J702" s="3" t="s">
        <v>5439</v>
      </c>
      <c r="K702" s="17" t="str">
        <f>HYPERLINK("http://ictvonline.org/taxonomyHistory.asp?taxnode_id=20170825","ICTVonline=20170825")</f>
        <v>ICTVonline=20170825</v>
      </c>
      <c r="L702" s="3">
        <v>701</v>
      </c>
    </row>
    <row r="703" spans="1:12" x14ac:dyDescent="0.15">
      <c r="A703" s="1" t="s">
        <v>1341</v>
      </c>
      <c r="B703" s="1" t="s">
        <v>904</v>
      </c>
      <c r="C703" s="1" t="s">
        <v>3160</v>
      </c>
      <c r="D703" s="1" t="s">
        <v>3177</v>
      </c>
      <c r="E703" s="1" t="s">
        <v>4553</v>
      </c>
      <c r="F703" s="3">
        <v>0</v>
      </c>
      <c r="G703" s="8" t="s">
        <v>2771</v>
      </c>
      <c r="H703" s="8" t="s">
        <v>5159</v>
      </c>
      <c r="I703" s="3">
        <v>31</v>
      </c>
      <c r="J703" s="3" t="s">
        <v>5298</v>
      </c>
      <c r="K703" s="17" t="str">
        <f>HYPERLINK("http://ictvonline.org/taxonomyHistory.asp?taxnode_id=20170826","ICTVonline=20170826")</f>
        <v>ICTVonline=20170826</v>
      </c>
      <c r="L703" s="3">
        <v>702</v>
      </c>
    </row>
    <row r="704" spans="1:12" x14ac:dyDescent="0.15">
      <c r="A704" s="1" t="s">
        <v>1341</v>
      </c>
      <c r="B704" s="1" t="s">
        <v>904</v>
      </c>
      <c r="C704" s="1" t="s">
        <v>3160</v>
      </c>
      <c r="D704" s="1" t="s">
        <v>3177</v>
      </c>
      <c r="E704" s="1" t="s">
        <v>4554</v>
      </c>
      <c r="F704" s="3">
        <v>0</v>
      </c>
      <c r="G704" s="8" t="s">
        <v>2771</v>
      </c>
      <c r="H704" s="8" t="s">
        <v>5159</v>
      </c>
      <c r="I704" s="3">
        <v>31</v>
      </c>
      <c r="J704" s="3" t="s">
        <v>5298</v>
      </c>
      <c r="K704" s="17" t="str">
        <f>HYPERLINK("http://ictvonline.org/taxonomyHistory.asp?taxnode_id=20170827","ICTVonline=20170827")</f>
        <v>ICTVonline=20170827</v>
      </c>
      <c r="L704" s="3">
        <v>703</v>
      </c>
    </row>
    <row r="705" spans="1:12" x14ac:dyDescent="0.15">
      <c r="A705" s="1" t="s">
        <v>1341</v>
      </c>
      <c r="B705" s="1" t="s">
        <v>904</v>
      </c>
      <c r="C705" s="1" t="s">
        <v>3160</v>
      </c>
      <c r="D705" s="1" t="s">
        <v>3177</v>
      </c>
      <c r="E705" s="1" t="s">
        <v>3179</v>
      </c>
      <c r="F705" s="3">
        <v>1</v>
      </c>
      <c r="G705" s="8" t="s">
        <v>2771</v>
      </c>
      <c r="H705" s="8" t="s">
        <v>5160</v>
      </c>
      <c r="I705" s="3">
        <v>30</v>
      </c>
      <c r="J705" s="3" t="s">
        <v>5297</v>
      </c>
      <c r="K705" s="17" t="str">
        <f>HYPERLINK("http://ictvonline.org/taxonomyHistory.asp?taxnode_id=20170828","ICTVonline=20170828")</f>
        <v>ICTVonline=20170828</v>
      </c>
      <c r="L705" s="3">
        <v>704</v>
      </c>
    </row>
    <row r="706" spans="1:12" x14ac:dyDescent="0.15">
      <c r="A706" s="1" t="s">
        <v>1341</v>
      </c>
      <c r="B706" s="1" t="s">
        <v>904</v>
      </c>
      <c r="C706" s="1" t="s">
        <v>3160</v>
      </c>
      <c r="D706" s="1" t="s">
        <v>3177</v>
      </c>
      <c r="E706" s="1" t="s">
        <v>3180</v>
      </c>
      <c r="F706" s="3">
        <v>0</v>
      </c>
      <c r="G706" s="8" t="s">
        <v>2771</v>
      </c>
      <c r="H706" s="8" t="s">
        <v>5159</v>
      </c>
      <c r="I706" s="3">
        <v>30</v>
      </c>
      <c r="J706" s="3" t="s">
        <v>5439</v>
      </c>
      <c r="K706" s="17" t="str">
        <f>HYPERLINK("http://ictvonline.org/taxonomyHistory.asp?taxnode_id=20170829","ICTVonline=20170829")</f>
        <v>ICTVonline=20170829</v>
      </c>
      <c r="L706" s="3">
        <v>705</v>
      </c>
    </row>
    <row r="707" spans="1:12" x14ac:dyDescent="0.15">
      <c r="A707" s="1" t="s">
        <v>1341</v>
      </c>
      <c r="B707" s="1" t="s">
        <v>904</v>
      </c>
      <c r="C707" s="1" t="s">
        <v>3160</v>
      </c>
      <c r="D707" s="1" t="s">
        <v>3177</v>
      </c>
      <c r="E707" s="1" t="s">
        <v>3181</v>
      </c>
      <c r="F707" s="3">
        <v>0</v>
      </c>
      <c r="G707" s="8" t="s">
        <v>2771</v>
      </c>
      <c r="H707" s="8" t="s">
        <v>5160</v>
      </c>
      <c r="I707" s="3">
        <v>30</v>
      </c>
      <c r="J707" s="3" t="s">
        <v>5297</v>
      </c>
      <c r="K707" s="17" t="str">
        <f>HYPERLINK("http://ictvonline.org/taxonomyHistory.asp?taxnode_id=20170830","ICTVonline=20170830")</f>
        <v>ICTVonline=20170830</v>
      </c>
      <c r="L707" s="3">
        <v>706</v>
      </c>
    </row>
    <row r="708" spans="1:12" x14ac:dyDescent="0.15">
      <c r="A708" s="1" t="s">
        <v>1341</v>
      </c>
      <c r="B708" s="1" t="s">
        <v>904</v>
      </c>
      <c r="C708" s="1" t="s">
        <v>3160</v>
      </c>
      <c r="D708" s="1" t="s">
        <v>3182</v>
      </c>
      <c r="E708" s="1" t="s">
        <v>3183</v>
      </c>
      <c r="F708" s="3">
        <v>0</v>
      </c>
      <c r="G708" s="8" t="s">
        <v>2771</v>
      </c>
      <c r="H708" s="8" t="s">
        <v>5159</v>
      </c>
      <c r="I708" s="3">
        <v>30</v>
      </c>
      <c r="J708" s="3" t="s">
        <v>5439</v>
      </c>
      <c r="K708" s="17" t="str">
        <f>HYPERLINK("http://ictvonline.org/taxonomyHistory.asp?taxnode_id=20170832","ICTVonline=20170832")</f>
        <v>ICTVonline=20170832</v>
      </c>
      <c r="L708" s="3">
        <v>707</v>
      </c>
    </row>
    <row r="709" spans="1:12" x14ac:dyDescent="0.15">
      <c r="A709" s="1" t="s">
        <v>1341</v>
      </c>
      <c r="B709" s="1" t="s">
        <v>904</v>
      </c>
      <c r="C709" s="1" t="s">
        <v>3160</v>
      </c>
      <c r="D709" s="1" t="s">
        <v>3182</v>
      </c>
      <c r="E709" s="1" t="s">
        <v>3184</v>
      </c>
      <c r="F709" s="3">
        <v>1</v>
      </c>
      <c r="G709" s="8" t="s">
        <v>2771</v>
      </c>
      <c r="H709" s="8" t="s">
        <v>5160</v>
      </c>
      <c r="I709" s="3">
        <v>30</v>
      </c>
      <c r="J709" s="3" t="s">
        <v>5439</v>
      </c>
      <c r="K709" s="17" t="str">
        <f>HYPERLINK("http://ictvonline.org/taxonomyHistory.asp?taxnode_id=20170833","ICTVonline=20170833")</f>
        <v>ICTVonline=20170833</v>
      </c>
      <c r="L709" s="3">
        <v>708</v>
      </c>
    </row>
    <row r="710" spans="1:12" x14ac:dyDescent="0.15">
      <c r="A710" s="1" t="s">
        <v>1341</v>
      </c>
      <c r="B710" s="1" t="s">
        <v>904</v>
      </c>
      <c r="C710" s="1" t="s">
        <v>3160</v>
      </c>
      <c r="D710" s="1" t="s">
        <v>3182</v>
      </c>
      <c r="E710" s="1" t="s">
        <v>3185</v>
      </c>
      <c r="F710" s="3">
        <v>0</v>
      </c>
      <c r="G710" s="8" t="s">
        <v>2771</v>
      </c>
      <c r="H710" s="8" t="s">
        <v>5159</v>
      </c>
      <c r="I710" s="3">
        <v>30</v>
      </c>
      <c r="J710" s="3" t="s">
        <v>5439</v>
      </c>
      <c r="K710" s="17" t="str">
        <f>HYPERLINK("http://ictvonline.org/taxonomyHistory.asp?taxnode_id=20170834","ICTVonline=20170834")</f>
        <v>ICTVonline=20170834</v>
      </c>
      <c r="L710" s="3">
        <v>709</v>
      </c>
    </row>
    <row r="711" spans="1:12" x14ac:dyDescent="0.15">
      <c r="A711" s="1" t="s">
        <v>1341</v>
      </c>
      <c r="B711" s="1" t="s">
        <v>904</v>
      </c>
      <c r="C711" s="1" t="s">
        <v>3160</v>
      </c>
      <c r="D711" s="1" t="s">
        <v>908</v>
      </c>
      <c r="E711" s="1" t="s">
        <v>3186</v>
      </c>
      <c r="F711" s="3">
        <v>0</v>
      </c>
      <c r="G711" s="8" t="s">
        <v>2771</v>
      </c>
      <c r="H711" s="8" t="s">
        <v>5160</v>
      </c>
      <c r="I711" s="3">
        <v>30</v>
      </c>
      <c r="J711" s="3" t="s">
        <v>5439</v>
      </c>
      <c r="K711" s="17" t="str">
        <f>HYPERLINK("http://ictvonline.org/taxonomyHistory.asp?taxnode_id=20170836","ICTVonline=20170836")</f>
        <v>ICTVonline=20170836</v>
      </c>
      <c r="L711" s="3">
        <v>710</v>
      </c>
    </row>
    <row r="712" spans="1:12" x14ac:dyDescent="0.15">
      <c r="A712" s="1" t="s">
        <v>1341</v>
      </c>
      <c r="B712" s="1" t="s">
        <v>904</v>
      </c>
      <c r="D712" s="1" t="s">
        <v>4555</v>
      </c>
      <c r="E712" s="1" t="s">
        <v>4556</v>
      </c>
      <c r="F712" s="3">
        <v>1</v>
      </c>
      <c r="G712" s="8" t="s">
        <v>2771</v>
      </c>
      <c r="H712" s="8" t="s">
        <v>5159</v>
      </c>
      <c r="I712" s="3">
        <v>31</v>
      </c>
      <c r="J712" s="3" t="s">
        <v>5440</v>
      </c>
      <c r="K712" s="17" t="str">
        <f>HYPERLINK("http://ictvonline.org/taxonomyHistory.asp?taxnode_id=20170839","ICTVonline=20170839")</f>
        <v>ICTVonline=20170839</v>
      </c>
      <c r="L712" s="3">
        <v>711</v>
      </c>
    </row>
    <row r="713" spans="1:12" x14ac:dyDescent="0.15">
      <c r="A713" s="1" t="s">
        <v>1341</v>
      </c>
      <c r="B713" s="1" t="s">
        <v>904</v>
      </c>
      <c r="D713" s="1" t="s">
        <v>4555</v>
      </c>
      <c r="E713" s="1" t="s">
        <v>4557</v>
      </c>
      <c r="F713" s="3">
        <v>0</v>
      </c>
      <c r="G713" s="8" t="s">
        <v>2771</v>
      </c>
      <c r="H713" s="8" t="s">
        <v>5159</v>
      </c>
      <c r="I713" s="3">
        <v>31</v>
      </c>
      <c r="J713" s="3" t="s">
        <v>5440</v>
      </c>
      <c r="K713" s="17" t="str">
        <f>HYPERLINK("http://ictvonline.org/taxonomyHistory.asp?taxnode_id=20170840","ICTVonline=20170840")</f>
        <v>ICTVonline=20170840</v>
      </c>
      <c r="L713" s="3">
        <v>712</v>
      </c>
    </row>
    <row r="714" spans="1:12" x14ac:dyDescent="0.15">
      <c r="A714" s="1" t="s">
        <v>1341</v>
      </c>
      <c r="B714" s="1" t="s">
        <v>904</v>
      </c>
      <c r="D714" s="1" t="s">
        <v>4555</v>
      </c>
      <c r="E714" s="1" t="s">
        <v>4558</v>
      </c>
      <c r="F714" s="3">
        <v>0</v>
      </c>
      <c r="G714" s="8" t="s">
        <v>2771</v>
      </c>
      <c r="H714" s="8" t="s">
        <v>5159</v>
      </c>
      <c r="I714" s="3">
        <v>31</v>
      </c>
      <c r="J714" s="3" t="s">
        <v>5440</v>
      </c>
      <c r="K714" s="17" t="str">
        <f>HYPERLINK("http://ictvonline.org/taxonomyHistory.asp?taxnode_id=20170841","ICTVonline=20170841")</f>
        <v>ICTVonline=20170841</v>
      </c>
      <c r="L714" s="3">
        <v>713</v>
      </c>
    </row>
    <row r="715" spans="1:12" x14ac:dyDescent="0.15">
      <c r="A715" s="1" t="s">
        <v>1341</v>
      </c>
      <c r="B715" s="1" t="s">
        <v>904</v>
      </c>
      <c r="D715" s="1" t="s">
        <v>4559</v>
      </c>
      <c r="E715" s="1" t="s">
        <v>4560</v>
      </c>
      <c r="F715" s="3">
        <v>1</v>
      </c>
      <c r="G715" s="8" t="s">
        <v>2771</v>
      </c>
      <c r="H715" s="8" t="s">
        <v>5159</v>
      </c>
      <c r="I715" s="3">
        <v>31</v>
      </c>
      <c r="J715" s="3" t="s">
        <v>5441</v>
      </c>
      <c r="K715" s="17" t="str">
        <f>HYPERLINK("http://ictvonline.org/taxonomyHistory.asp?taxnode_id=20170843","ICTVonline=20170843")</f>
        <v>ICTVonline=20170843</v>
      </c>
      <c r="L715" s="3">
        <v>714</v>
      </c>
    </row>
    <row r="716" spans="1:12" x14ac:dyDescent="0.15">
      <c r="A716" s="1" t="s">
        <v>1341</v>
      </c>
      <c r="B716" s="1" t="s">
        <v>904</v>
      </c>
      <c r="D716" s="1" t="s">
        <v>5442</v>
      </c>
      <c r="E716" s="1" t="s">
        <v>5443</v>
      </c>
      <c r="F716" s="3">
        <v>1</v>
      </c>
      <c r="G716" s="8" t="s">
        <v>2771</v>
      </c>
      <c r="H716" s="8" t="s">
        <v>5159</v>
      </c>
      <c r="I716" s="3">
        <v>32</v>
      </c>
      <c r="J716" s="3" t="s">
        <v>5444</v>
      </c>
      <c r="K716" s="17" t="str">
        <f>HYPERLINK("http://ictvonline.org/taxonomyHistory.asp?taxnode_id=20175538","ICTVonline=20175538")</f>
        <v>ICTVonline=20175538</v>
      </c>
      <c r="L716" s="3">
        <v>715</v>
      </c>
    </row>
    <row r="717" spans="1:12" x14ac:dyDescent="0.15">
      <c r="A717" s="1" t="s">
        <v>1341</v>
      </c>
      <c r="B717" s="1" t="s">
        <v>904</v>
      </c>
      <c r="D717" s="1" t="s">
        <v>5442</v>
      </c>
      <c r="E717" s="1" t="s">
        <v>5445</v>
      </c>
      <c r="F717" s="3">
        <v>0</v>
      </c>
      <c r="G717" s="8" t="s">
        <v>2771</v>
      </c>
      <c r="H717" s="8" t="s">
        <v>5159</v>
      </c>
      <c r="I717" s="3">
        <v>32</v>
      </c>
      <c r="J717" s="3" t="s">
        <v>5444</v>
      </c>
      <c r="K717" s="17" t="str">
        <f>HYPERLINK("http://ictvonline.org/taxonomyHistory.asp?taxnode_id=20175539","ICTVonline=20175539")</f>
        <v>ICTVonline=20175539</v>
      </c>
      <c r="L717" s="3">
        <v>716</v>
      </c>
    </row>
    <row r="718" spans="1:12" x14ac:dyDescent="0.15">
      <c r="A718" s="1" t="s">
        <v>1341</v>
      </c>
      <c r="B718" s="1" t="s">
        <v>904</v>
      </c>
      <c r="D718" s="1" t="s">
        <v>3187</v>
      </c>
      <c r="E718" s="1" t="s">
        <v>3188</v>
      </c>
      <c r="F718" s="3">
        <v>1</v>
      </c>
      <c r="G718" s="8" t="s">
        <v>2771</v>
      </c>
      <c r="H718" s="8" t="s">
        <v>5160</v>
      </c>
      <c r="I718" s="3">
        <v>30</v>
      </c>
      <c r="J718" s="3" t="s">
        <v>5297</v>
      </c>
      <c r="K718" s="17" t="str">
        <f>HYPERLINK("http://ictvonline.org/taxonomyHistory.asp?taxnode_id=20170845","ICTVonline=20170845")</f>
        <v>ICTVonline=20170845</v>
      </c>
      <c r="L718" s="3">
        <v>717</v>
      </c>
    </row>
    <row r="719" spans="1:12" x14ac:dyDescent="0.15">
      <c r="A719" s="1" t="s">
        <v>1341</v>
      </c>
      <c r="B719" s="1" t="s">
        <v>904</v>
      </c>
      <c r="D719" s="1" t="s">
        <v>3187</v>
      </c>
      <c r="E719" s="1" t="s">
        <v>3189</v>
      </c>
      <c r="F719" s="3">
        <v>0</v>
      </c>
      <c r="G719" s="8" t="s">
        <v>2771</v>
      </c>
      <c r="H719" s="8" t="s">
        <v>5160</v>
      </c>
      <c r="I719" s="3">
        <v>30</v>
      </c>
      <c r="J719" s="3" t="s">
        <v>5297</v>
      </c>
      <c r="K719" s="17" t="str">
        <f>HYPERLINK("http://ictvonline.org/taxonomyHistory.asp?taxnode_id=20170846","ICTVonline=20170846")</f>
        <v>ICTVonline=20170846</v>
      </c>
      <c r="L719" s="3">
        <v>718</v>
      </c>
    </row>
    <row r="720" spans="1:12" x14ac:dyDescent="0.15">
      <c r="A720" s="1" t="s">
        <v>1341</v>
      </c>
      <c r="B720" s="1" t="s">
        <v>904</v>
      </c>
      <c r="D720" s="1" t="s">
        <v>3187</v>
      </c>
      <c r="E720" s="1" t="s">
        <v>3190</v>
      </c>
      <c r="F720" s="3">
        <v>0</v>
      </c>
      <c r="G720" s="8" t="s">
        <v>2771</v>
      </c>
      <c r="H720" s="8" t="s">
        <v>5160</v>
      </c>
      <c r="I720" s="3">
        <v>30</v>
      </c>
      <c r="J720" s="3" t="s">
        <v>5297</v>
      </c>
      <c r="K720" s="17" t="str">
        <f>HYPERLINK("http://ictvonline.org/taxonomyHistory.asp?taxnode_id=20170847","ICTVonline=20170847")</f>
        <v>ICTVonline=20170847</v>
      </c>
      <c r="L720" s="3">
        <v>719</v>
      </c>
    </row>
    <row r="721" spans="1:12" x14ac:dyDescent="0.15">
      <c r="A721" s="1" t="s">
        <v>1341</v>
      </c>
      <c r="B721" s="1" t="s">
        <v>904</v>
      </c>
      <c r="D721" s="1" t="s">
        <v>3187</v>
      </c>
      <c r="E721" s="1" t="s">
        <v>3191</v>
      </c>
      <c r="F721" s="3">
        <v>0</v>
      </c>
      <c r="G721" s="8" t="s">
        <v>2771</v>
      </c>
      <c r="H721" s="8" t="s">
        <v>5160</v>
      </c>
      <c r="I721" s="3">
        <v>30</v>
      </c>
      <c r="J721" s="3" t="s">
        <v>5297</v>
      </c>
      <c r="K721" s="17" t="str">
        <f>HYPERLINK("http://ictvonline.org/taxonomyHistory.asp?taxnode_id=20170848","ICTVonline=20170848")</f>
        <v>ICTVonline=20170848</v>
      </c>
      <c r="L721" s="3">
        <v>720</v>
      </c>
    </row>
    <row r="722" spans="1:12" x14ac:dyDescent="0.15">
      <c r="A722" s="1" t="s">
        <v>1341</v>
      </c>
      <c r="B722" s="1" t="s">
        <v>904</v>
      </c>
      <c r="D722" s="1" t="s">
        <v>3187</v>
      </c>
      <c r="E722" s="1" t="s">
        <v>3192</v>
      </c>
      <c r="F722" s="3">
        <v>0</v>
      </c>
      <c r="G722" s="8" t="s">
        <v>2771</v>
      </c>
      <c r="H722" s="8" t="s">
        <v>5160</v>
      </c>
      <c r="I722" s="3">
        <v>30</v>
      </c>
      <c r="J722" s="3" t="s">
        <v>5297</v>
      </c>
      <c r="K722" s="17" t="str">
        <f>HYPERLINK("http://ictvonline.org/taxonomyHistory.asp?taxnode_id=20170849","ICTVonline=20170849")</f>
        <v>ICTVonline=20170849</v>
      </c>
      <c r="L722" s="3">
        <v>721</v>
      </c>
    </row>
    <row r="723" spans="1:12" x14ac:dyDescent="0.15">
      <c r="A723" s="1" t="s">
        <v>1341</v>
      </c>
      <c r="B723" s="1" t="s">
        <v>904</v>
      </c>
      <c r="D723" s="1" t="s">
        <v>3187</v>
      </c>
      <c r="E723" s="1" t="s">
        <v>3193</v>
      </c>
      <c r="F723" s="3">
        <v>0</v>
      </c>
      <c r="G723" s="8" t="s">
        <v>2771</v>
      </c>
      <c r="H723" s="8" t="s">
        <v>5160</v>
      </c>
      <c r="I723" s="3">
        <v>30</v>
      </c>
      <c r="J723" s="3" t="s">
        <v>5297</v>
      </c>
      <c r="K723" s="17" t="str">
        <f>HYPERLINK("http://ictvonline.org/taxonomyHistory.asp?taxnode_id=20170850","ICTVonline=20170850")</f>
        <v>ICTVonline=20170850</v>
      </c>
      <c r="L723" s="3">
        <v>722</v>
      </c>
    </row>
    <row r="724" spans="1:12" x14ac:dyDescent="0.15">
      <c r="A724" s="1" t="s">
        <v>1341</v>
      </c>
      <c r="B724" s="1" t="s">
        <v>904</v>
      </c>
      <c r="D724" s="1" t="s">
        <v>3187</v>
      </c>
      <c r="E724" s="1" t="s">
        <v>3194</v>
      </c>
      <c r="F724" s="3">
        <v>0</v>
      </c>
      <c r="G724" s="8" t="s">
        <v>2771</v>
      </c>
      <c r="H724" s="8" t="s">
        <v>5160</v>
      </c>
      <c r="I724" s="3">
        <v>30</v>
      </c>
      <c r="J724" s="3" t="s">
        <v>5297</v>
      </c>
      <c r="K724" s="17" t="str">
        <f>HYPERLINK("http://ictvonline.org/taxonomyHistory.asp?taxnode_id=20170851","ICTVonline=20170851")</f>
        <v>ICTVonline=20170851</v>
      </c>
      <c r="L724" s="3">
        <v>723</v>
      </c>
    </row>
    <row r="725" spans="1:12" x14ac:dyDescent="0.15">
      <c r="A725" s="1" t="s">
        <v>1341</v>
      </c>
      <c r="B725" s="1" t="s">
        <v>904</v>
      </c>
      <c r="D725" s="1" t="s">
        <v>3187</v>
      </c>
      <c r="E725" s="1" t="s">
        <v>3195</v>
      </c>
      <c r="F725" s="3">
        <v>0</v>
      </c>
      <c r="G725" s="8" t="s">
        <v>2771</v>
      </c>
      <c r="H725" s="8" t="s">
        <v>5160</v>
      </c>
      <c r="I725" s="3">
        <v>30</v>
      </c>
      <c r="J725" s="3" t="s">
        <v>5297</v>
      </c>
      <c r="K725" s="17" t="str">
        <f>HYPERLINK("http://ictvonline.org/taxonomyHistory.asp?taxnode_id=20170852","ICTVonline=20170852")</f>
        <v>ICTVonline=20170852</v>
      </c>
      <c r="L725" s="3">
        <v>724</v>
      </c>
    </row>
    <row r="726" spans="1:12" x14ac:dyDescent="0.15">
      <c r="A726" s="1" t="s">
        <v>1341</v>
      </c>
      <c r="B726" s="1" t="s">
        <v>904</v>
      </c>
      <c r="D726" s="1" t="s">
        <v>5446</v>
      </c>
      <c r="E726" s="1" t="s">
        <v>5447</v>
      </c>
      <c r="F726" s="3">
        <v>1</v>
      </c>
      <c r="G726" s="8" t="s">
        <v>2771</v>
      </c>
      <c r="H726" s="8" t="s">
        <v>5159</v>
      </c>
      <c r="I726" s="3">
        <v>32</v>
      </c>
      <c r="J726" s="3" t="s">
        <v>5448</v>
      </c>
      <c r="K726" s="17" t="str">
        <f>HYPERLINK("http://ictvonline.org/taxonomyHistory.asp?taxnode_id=20175541","ICTVonline=20175541")</f>
        <v>ICTVonline=20175541</v>
      </c>
      <c r="L726" s="3">
        <v>725</v>
      </c>
    </row>
    <row r="727" spans="1:12" x14ac:dyDescent="0.15">
      <c r="A727" s="1" t="s">
        <v>1341</v>
      </c>
      <c r="B727" s="1" t="s">
        <v>904</v>
      </c>
      <c r="D727" s="1" t="s">
        <v>3196</v>
      </c>
      <c r="E727" s="1" t="s">
        <v>3197</v>
      </c>
      <c r="F727" s="3">
        <v>1</v>
      </c>
      <c r="G727" s="8" t="s">
        <v>2771</v>
      </c>
      <c r="H727" s="8" t="s">
        <v>5160</v>
      </c>
      <c r="I727" s="3">
        <v>30</v>
      </c>
      <c r="J727" s="3" t="s">
        <v>5297</v>
      </c>
      <c r="K727" s="17" t="str">
        <f>HYPERLINK("http://ictvonline.org/taxonomyHistory.asp?taxnode_id=20170854","ICTVonline=20170854")</f>
        <v>ICTVonline=20170854</v>
      </c>
      <c r="L727" s="3">
        <v>726</v>
      </c>
    </row>
    <row r="728" spans="1:12" x14ac:dyDescent="0.15">
      <c r="A728" s="1" t="s">
        <v>1341</v>
      </c>
      <c r="B728" s="1" t="s">
        <v>904</v>
      </c>
      <c r="D728" s="1" t="s">
        <v>3196</v>
      </c>
      <c r="E728" s="1" t="s">
        <v>3198</v>
      </c>
      <c r="F728" s="3">
        <v>0</v>
      </c>
      <c r="G728" s="8" t="s">
        <v>2771</v>
      </c>
      <c r="H728" s="8" t="s">
        <v>5160</v>
      </c>
      <c r="I728" s="3">
        <v>30</v>
      </c>
      <c r="J728" s="3" t="s">
        <v>5297</v>
      </c>
      <c r="K728" s="17" t="str">
        <f>HYPERLINK("http://ictvonline.org/taxonomyHistory.asp?taxnode_id=20170855","ICTVonline=20170855")</f>
        <v>ICTVonline=20170855</v>
      </c>
      <c r="L728" s="3">
        <v>727</v>
      </c>
    </row>
    <row r="729" spans="1:12" x14ac:dyDescent="0.15">
      <c r="A729" s="1" t="s">
        <v>1341</v>
      </c>
      <c r="B729" s="1" t="s">
        <v>904</v>
      </c>
      <c r="D729" s="1" t="s">
        <v>3196</v>
      </c>
      <c r="E729" s="1" t="s">
        <v>3200</v>
      </c>
      <c r="F729" s="3">
        <v>0</v>
      </c>
      <c r="G729" s="8" t="s">
        <v>2771</v>
      </c>
      <c r="H729" s="8" t="s">
        <v>5160</v>
      </c>
      <c r="I729" s="3">
        <v>30</v>
      </c>
      <c r="J729" s="3" t="s">
        <v>5297</v>
      </c>
      <c r="K729" s="17" t="str">
        <f>HYPERLINK("http://ictvonline.org/taxonomyHistory.asp?taxnode_id=20170856","ICTVonline=20170856")</f>
        <v>ICTVonline=20170856</v>
      </c>
      <c r="L729" s="3">
        <v>728</v>
      </c>
    </row>
    <row r="730" spans="1:12" x14ac:dyDescent="0.15">
      <c r="A730" s="1" t="s">
        <v>1341</v>
      </c>
      <c r="B730" s="1" t="s">
        <v>904</v>
      </c>
      <c r="D730" s="1" t="s">
        <v>4561</v>
      </c>
      <c r="E730" s="1" t="s">
        <v>4562</v>
      </c>
      <c r="F730" s="3">
        <v>1</v>
      </c>
      <c r="G730" s="8" t="s">
        <v>2771</v>
      </c>
      <c r="H730" s="8" t="s">
        <v>5159</v>
      </c>
      <c r="I730" s="3">
        <v>31</v>
      </c>
      <c r="J730" s="3" t="s">
        <v>5449</v>
      </c>
      <c r="K730" s="17" t="str">
        <f>HYPERLINK("http://ictvonline.org/taxonomyHistory.asp?taxnode_id=20170858","ICTVonline=20170858")</f>
        <v>ICTVonline=20170858</v>
      </c>
      <c r="L730" s="3">
        <v>729</v>
      </c>
    </row>
    <row r="731" spans="1:12" x14ac:dyDescent="0.15">
      <c r="A731" s="1" t="s">
        <v>1341</v>
      </c>
      <c r="B731" s="1" t="s">
        <v>904</v>
      </c>
      <c r="D731" s="1" t="s">
        <v>3204</v>
      </c>
      <c r="E731" s="1" t="s">
        <v>3205</v>
      </c>
      <c r="F731" s="3">
        <v>0</v>
      </c>
      <c r="G731" s="8" t="s">
        <v>2771</v>
      </c>
      <c r="H731" s="8" t="s">
        <v>5160</v>
      </c>
      <c r="I731" s="3">
        <v>30</v>
      </c>
      <c r="J731" s="3" t="s">
        <v>5297</v>
      </c>
      <c r="K731" s="17" t="str">
        <f>HYPERLINK("http://ictvonline.org/taxonomyHistory.asp?taxnode_id=20170860","ICTVonline=20170860")</f>
        <v>ICTVonline=20170860</v>
      </c>
      <c r="L731" s="3">
        <v>730</v>
      </c>
    </row>
    <row r="732" spans="1:12" x14ac:dyDescent="0.15">
      <c r="A732" s="1" t="s">
        <v>1341</v>
      </c>
      <c r="B732" s="1" t="s">
        <v>904</v>
      </c>
      <c r="D732" s="1" t="s">
        <v>3204</v>
      </c>
      <c r="E732" s="1" t="s">
        <v>3206</v>
      </c>
      <c r="F732" s="3">
        <v>1</v>
      </c>
      <c r="G732" s="8" t="s">
        <v>2771</v>
      </c>
      <c r="H732" s="8" t="s">
        <v>5160</v>
      </c>
      <c r="I732" s="3">
        <v>30</v>
      </c>
      <c r="J732" s="3" t="s">
        <v>5297</v>
      </c>
      <c r="K732" s="17" t="str">
        <f>HYPERLINK("http://ictvonline.org/taxonomyHistory.asp?taxnode_id=20170861","ICTVonline=20170861")</f>
        <v>ICTVonline=20170861</v>
      </c>
      <c r="L732" s="3">
        <v>731</v>
      </c>
    </row>
    <row r="733" spans="1:12" x14ac:dyDescent="0.15">
      <c r="A733" s="1" t="s">
        <v>1341</v>
      </c>
      <c r="B733" s="1" t="s">
        <v>904</v>
      </c>
      <c r="D733" s="1" t="s">
        <v>3204</v>
      </c>
      <c r="E733" s="1" t="s">
        <v>3207</v>
      </c>
      <c r="F733" s="3">
        <v>0</v>
      </c>
      <c r="G733" s="8" t="s">
        <v>2771</v>
      </c>
      <c r="H733" s="8" t="s">
        <v>5160</v>
      </c>
      <c r="I733" s="3">
        <v>30</v>
      </c>
      <c r="J733" s="3" t="s">
        <v>5297</v>
      </c>
      <c r="K733" s="17" t="str">
        <f>HYPERLINK("http://ictvonline.org/taxonomyHistory.asp?taxnode_id=20170862","ICTVonline=20170862")</f>
        <v>ICTVonline=20170862</v>
      </c>
      <c r="L733" s="3">
        <v>732</v>
      </c>
    </row>
    <row r="734" spans="1:12" x14ac:dyDescent="0.15">
      <c r="A734" s="1" t="s">
        <v>1341</v>
      </c>
      <c r="B734" s="1" t="s">
        <v>904</v>
      </c>
      <c r="D734" s="1" t="s">
        <v>3208</v>
      </c>
      <c r="E734" s="1" t="s">
        <v>3209</v>
      </c>
      <c r="F734" s="3">
        <v>1</v>
      </c>
      <c r="G734" s="8" t="s">
        <v>2771</v>
      </c>
      <c r="H734" s="8" t="s">
        <v>5160</v>
      </c>
      <c r="I734" s="3">
        <v>30</v>
      </c>
      <c r="J734" s="3" t="s">
        <v>5297</v>
      </c>
      <c r="K734" s="17" t="str">
        <f>HYPERLINK("http://ictvonline.org/taxonomyHistory.asp?taxnode_id=20170864","ICTVonline=20170864")</f>
        <v>ICTVonline=20170864</v>
      </c>
      <c r="L734" s="3">
        <v>733</v>
      </c>
    </row>
    <row r="735" spans="1:12" x14ac:dyDescent="0.15">
      <c r="A735" s="1" t="s">
        <v>1341</v>
      </c>
      <c r="B735" s="1" t="s">
        <v>904</v>
      </c>
      <c r="D735" s="1" t="s">
        <v>3208</v>
      </c>
      <c r="E735" s="1" t="s">
        <v>3210</v>
      </c>
      <c r="F735" s="3">
        <v>0</v>
      </c>
      <c r="G735" s="8" t="s">
        <v>2771</v>
      </c>
      <c r="H735" s="8" t="s">
        <v>5160</v>
      </c>
      <c r="I735" s="3">
        <v>30</v>
      </c>
      <c r="J735" s="3" t="s">
        <v>5297</v>
      </c>
      <c r="K735" s="17" t="str">
        <f>HYPERLINK("http://ictvonline.org/taxonomyHistory.asp?taxnode_id=20170865","ICTVonline=20170865")</f>
        <v>ICTVonline=20170865</v>
      </c>
      <c r="L735" s="3">
        <v>734</v>
      </c>
    </row>
    <row r="736" spans="1:12" x14ac:dyDescent="0.15">
      <c r="A736" s="1" t="s">
        <v>1341</v>
      </c>
      <c r="B736" s="1" t="s">
        <v>904</v>
      </c>
      <c r="D736" s="1" t="s">
        <v>3208</v>
      </c>
      <c r="E736" s="1" t="s">
        <v>3211</v>
      </c>
      <c r="F736" s="3">
        <v>0</v>
      </c>
      <c r="G736" s="8" t="s">
        <v>2771</v>
      </c>
      <c r="H736" s="8" t="s">
        <v>5160</v>
      </c>
      <c r="I736" s="3">
        <v>30</v>
      </c>
      <c r="J736" s="3" t="s">
        <v>5297</v>
      </c>
      <c r="K736" s="17" t="str">
        <f>HYPERLINK("http://ictvonline.org/taxonomyHistory.asp?taxnode_id=20170866","ICTVonline=20170866")</f>
        <v>ICTVonline=20170866</v>
      </c>
      <c r="L736" s="3">
        <v>735</v>
      </c>
    </row>
    <row r="737" spans="1:12" x14ac:dyDescent="0.15">
      <c r="A737" s="1" t="s">
        <v>1341</v>
      </c>
      <c r="B737" s="1" t="s">
        <v>904</v>
      </c>
      <c r="D737" s="1" t="s">
        <v>3208</v>
      </c>
      <c r="E737" s="1" t="s">
        <v>3212</v>
      </c>
      <c r="F737" s="3">
        <v>0</v>
      </c>
      <c r="G737" s="8" t="s">
        <v>2771</v>
      </c>
      <c r="H737" s="8" t="s">
        <v>5160</v>
      </c>
      <c r="I737" s="3">
        <v>30</v>
      </c>
      <c r="J737" s="3" t="s">
        <v>5297</v>
      </c>
      <c r="K737" s="17" t="str">
        <f>HYPERLINK("http://ictvonline.org/taxonomyHistory.asp?taxnode_id=20170867","ICTVonline=20170867")</f>
        <v>ICTVonline=20170867</v>
      </c>
      <c r="L737" s="3">
        <v>736</v>
      </c>
    </row>
    <row r="738" spans="1:12" x14ac:dyDescent="0.15">
      <c r="A738" s="1" t="s">
        <v>1341</v>
      </c>
      <c r="B738" s="1" t="s">
        <v>904</v>
      </c>
      <c r="D738" s="1" t="s">
        <v>3213</v>
      </c>
      <c r="E738" s="1" t="s">
        <v>3214</v>
      </c>
      <c r="F738" s="3">
        <v>0</v>
      </c>
      <c r="G738" s="8" t="s">
        <v>2771</v>
      </c>
      <c r="H738" s="8" t="s">
        <v>5160</v>
      </c>
      <c r="I738" s="3">
        <v>30</v>
      </c>
      <c r="J738" s="3" t="s">
        <v>5297</v>
      </c>
      <c r="K738" s="17" t="str">
        <f>HYPERLINK("http://ictvonline.org/taxonomyHistory.asp?taxnode_id=20170869","ICTVonline=20170869")</f>
        <v>ICTVonline=20170869</v>
      </c>
      <c r="L738" s="3">
        <v>737</v>
      </c>
    </row>
    <row r="739" spans="1:12" x14ac:dyDescent="0.15">
      <c r="A739" s="1" t="s">
        <v>1341</v>
      </c>
      <c r="B739" s="1" t="s">
        <v>904</v>
      </c>
      <c r="D739" s="1" t="s">
        <v>3213</v>
      </c>
      <c r="E739" s="1" t="s">
        <v>3215</v>
      </c>
      <c r="F739" s="3">
        <v>1</v>
      </c>
      <c r="G739" s="8" t="s">
        <v>2771</v>
      </c>
      <c r="H739" s="8" t="s">
        <v>5160</v>
      </c>
      <c r="I739" s="3">
        <v>30</v>
      </c>
      <c r="J739" s="3" t="s">
        <v>5297</v>
      </c>
      <c r="K739" s="17" t="str">
        <f>HYPERLINK("http://ictvonline.org/taxonomyHistory.asp?taxnode_id=20170870","ICTVonline=20170870")</f>
        <v>ICTVonline=20170870</v>
      </c>
      <c r="L739" s="3">
        <v>738</v>
      </c>
    </row>
    <row r="740" spans="1:12" x14ac:dyDescent="0.15">
      <c r="A740" s="1" t="s">
        <v>1341</v>
      </c>
      <c r="B740" s="1" t="s">
        <v>904</v>
      </c>
      <c r="D740" s="1" t="s">
        <v>3216</v>
      </c>
      <c r="E740" s="1" t="s">
        <v>3217</v>
      </c>
      <c r="F740" s="3">
        <v>1</v>
      </c>
      <c r="G740" s="8" t="s">
        <v>2771</v>
      </c>
      <c r="H740" s="8" t="s">
        <v>5160</v>
      </c>
      <c r="I740" s="3">
        <v>30</v>
      </c>
      <c r="J740" s="3" t="s">
        <v>5297</v>
      </c>
      <c r="K740" s="17" t="str">
        <f>HYPERLINK("http://ictvonline.org/taxonomyHistory.asp?taxnode_id=20170872","ICTVonline=20170872")</f>
        <v>ICTVonline=20170872</v>
      </c>
      <c r="L740" s="3">
        <v>739</v>
      </c>
    </row>
    <row r="741" spans="1:12" x14ac:dyDescent="0.15">
      <c r="A741" s="1" t="s">
        <v>1341</v>
      </c>
      <c r="B741" s="1" t="s">
        <v>904</v>
      </c>
      <c r="D741" s="1" t="s">
        <v>3216</v>
      </c>
      <c r="E741" s="1" t="s">
        <v>4563</v>
      </c>
      <c r="F741" s="3">
        <v>0</v>
      </c>
      <c r="G741" s="8" t="s">
        <v>2771</v>
      </c>
      <c r="H741" s="8" t="s">
        <v>5159</v>
      </c>
      <c r="I741" s="3">
        <v>31</v>
      </c>
      <c r="J741" s="3" t="s">
        <v>5298</v>
      </c>
      <c r="K741" s="17" t="str">
        <f>HYPERLINK("http://ictvonline.org/taxonomyHistory.asp?taxnode_id=20170873","ICTVonline=20170873")</f>
        <v>ICTVonline=20170873</v>
      </c>
      <c r="L741" s="3">
        <v>740</v>
      </c>
    </row>
    <row r="742" spans="1:12" x14ac:dyDescent="0.15">
      <c r="A742" s="1" t="s">
        <v>1341</v>
      </c>
      <c r="B742" s="1" t="s">
        <v>904</v>
      </c>
      <c r="D742" s="1" t="s">
        <v>3216</v>
      </c>
      <c r="E742" s="1" t="s">
        <v>4564</v>
      </c>
      <c r="F742" s="3">
        <v>0</v>
      </c>
      <c r="G742" s="8" t="s">
        <v>2771</v>
      </c>
      <c r="H742" s="8" t="s">
        <v>5159</v>
      </c>
      <c r="I742" s="3">
        <v>31</v>
      </c>
      <c r="J742" s="3" t="s">
        <v>5298</v>
      </c>
      <c r="K742" s="17" t="str">
        <f>HYPERLINK("http://ictvonline.org/taxonomyHistory.asp?taxnode_id=20170874","ICTVonline=20170874")</f>
        <v>ICTVonline=20170874</v>
      </c>
      <c r="L742" s="3">
        <v>741</v>
      </c>
    </row>
    <row r="743" spans="1:12" x14ac:dyDescent="0.15">
      <c r="A743" s="1" t="s">
        <v>1341</v>
      </c>
      <c r="B743" s="1" t="s">
        <v>904</v>
      </c>
      <c r="D743" s="1" t="s">
        <v>3216</v>
      </c>
      <c r="E743" s="1" t="s">
        <v>4565</v>
      </c>
      <c r="F743" s="3">
        <v>0</v>
      </c>
      <c r="G743" s="8" t="s">
        <v>2771</v>
      </c>
      <c r="H743" s="8" t="s">
        <v>5159</v>
      </c>
      <c r="I743" s="3">
        <v>31</v>
      </c>
      <c r="J743" s="3" t="s">
        <v>5298</v>
      </c>
      <c r="K743" s="17" t="str">
        <f>HYPERLINK("http://ictvonline.org/taxonomyHistory.asp?taxnode_id=20170875","ICTVonline=20170875")</f>
        <v>ICTVonline=20170875</v>
      </c>
      <c r="L743" s="3">
        <v>742</v>
      </c>
    </row>
    <row r="744" spans="1:12" x14ac:dyDescent="0.15">
      <c r="A744" s="1" t="s">
        <v>1341</v>
      </c>
      <c r="B744" s="1" t="s">
        <v>904</v>
      </c>
      <c r="D744" s="1" t="s">
        <v>3216</v>
      </c>
      <c r="E744" s="1" t="s">
        <v>3218</v>
      </c>
      <c r="F744" s="3">
        <v>0</v>
      </c>
      <c r="G744" s="8" t="s">
        <v>2771</v>
      </c>
      <c r="H744" s="8" t="s">
        <v>5160</v>
      </c>
      <c r="I744" s="3">
        <v>30</v>
      </c>
      <c r="J744" s="3" t="s">
        <v>5297</v>
      </c>
      <c r="K744" s="17" t="str">
        <f>HYPERLINK("http://ictvonline.org/taxonomyHistory.asp?taxnode_id=20170876","ICTVonline=20170876")</f>
        <v>ICTVonline=20170876</v>
      </c>
      <c r="L744" s="3">
        <v>743</v>
      </c>
    </row>
    <row r="745" spans="1:12" x14ac:dyDescent="0.15">
      <c r="A745" s="1" t="s">
        <v>1341</v>
      </c>
      <c r="B745" s="1" t="s">
        <v>904</v>
      </c>
      <c r="D745" s="1" t="s">
        <v>3216</v>
      </c>
      <c r="E745" s="1" t="s">
        <v>4566</v>
      </c>
      <c r="F745" s="3">
        <v>0</v>
      </c>
      <c r="G745" s="8" t="s">
        <v>2771</v>
      </c>
      <c r="H745" s="8" t="s">
        <v>5159</v>
      </c>
      <c r="I745" s="3">
        <v>31</v>
      </c>
      <c r="J745" s="3" t="s">
        <v>5298</v>
      </c>
      <c r="K745" s="17" t="str">
        <f>HYPERLINK("http://ictvonline.org/taxonomyHistory.asp?taxnode_id=20170877","ICTVonline=20170877")</f>
        <v>ICTVonline=20170877</v>
      </c>
      <c r="L745" s="3">
        <v>744</v>
      </c>
    </row>
    <row r="746" spans="1:12" x14ac:dyDescent="0.15">
      <c r="A746" s="1" t="s">
        <v>1341</v>
      </c>
      <c r="B746" s="1" t="s">
        <v>904</v>
      </c>
      <c r="D746" s="1" t="s">
        <v>3219</v>
      </c>
      <c r="E746" s="1" t="s">
        <v>3220</v>
      </c>
      <c r="F746" s="3">
        <v>0</v>
      </c>
      <c r="G746" s="8" t="s">
        <v>2771</v>
      </c>
      <c r="H746" s="8" t="s">
        <v>5159</v>
      </c>
      <c r="I746" s="3">
        <v>30</v>
      </c>
      <c r="J746" s="3" t="s">
        <v>5450</v>
      </c>
      <c r="K746" s="17" t="str">
        <f>HYPERLINK("http://ictvonline.org/taxonomyHistory.asp?taxnode_id=20170879","ICTVonline=20170879")</f>
        <v>ICTVonline=20170879</v>
      </c>
      <c r="L746" s="3">
        <v>745</v>
      </c>
    </row>
    <row r="747" spans="1:12" x14ac:dyDescent="0.15">
      <c r="A747" s="1" t="s">
        <v>1341</v>
      </c>
      <c r="B747" s="1" t="s">
        <v>904</v>
      </c>
      <c r="D747" s="1" t="s">
        <v>3219</v>
      </c>
      <c r="E747" s="1" t="s">
        <v>3221</v>
      </c>
      <c r="F747" s="3">
        <v>0</v>
      </c>
      <c r="G747" s="8" t="s">
        <v>2771</v>
      </c>
      <c r="H747" s="8" t="s">
        <v>5159</v>
      </c>
      <c r="I747" s="3">
        <v>30</v>
      </c>
      <c r="J747" s="3" t="s">
        <v>5450</v>
      </c>
      <c r="K747" s="17" t="str">
        <f>HYPERLINK("http://ictvonline.org/taxonomyHistory.asp?taxnode_id=20170880","ICTVonline=20170880")</f>
        <v>ICTVonline=20170880</v>
      </c>
      <c r="L747" s="3">
        <v>746</v>
      </c>
    </row>
    <row r="748" spans="1:12" x14ac:dyDescent="0.15">
      <c r="A748" s="1" t="s">
        <v>1341</v>
      </c>
      <c r="B748" s="1" t="s">
        <v>904</v>
      </c>
      <c r="D748" s="1" t="s">
        <v>3219</v>
      </c>
      <c r="E748" s="1" t="s">
        <v>3222</v>
      </c>
      <c r="F748" s="3">
        <v>1</v>
      </c>
      <c r="G748" s="8" t="s">
        <v>2771</v>
      </c>
      <c r="H748" s="8" t="s">
        <v>5159</v>
      </c>
      <c r="I748" s="3">
        <v>30</v>
      </c>
      <c r="J748" s="3" t="s">
        <v>5450</v>
      </c>
      <c r="K748" s="17" t="str">
        <f>HYPERLINK("http://ictvonline.org/taxonomyHistory.asp?taxnode_id=20170881","ICTVonline=20170881")</f>
        <v>ICTVonline=20170881</v>
      </c>
      <c r="L748" s="3">
        <v>747</v>
      </c>
    </row>
    <row r="749" spans="1:12" x14ac:dyDescent="0.15">
      <c r="A749" s="1" t="s">
        <v>1341</v>
      </c>
      <c r="B749" s="1" t="s">
        <v>904</v>
      </c>
      <c r="D749" s="1" t="s">
        <v>3223</v>
      </c>
      <c r="E749" s="1" t="s">
        <v>3224</v>
      </c>
      <c r="F749" s="3">
        <v>1</v>
      </c>
      <c r="G749" s="8" t="s">
        <v>2771</v>
      </c>
      <c r="H749" s="8" t="s">
        <v>5159</v>
      </c>
      <c r="I749" s="3">
        <v>30</v>
      </c>
      <c r="J749" s="3" t="s">
        <v>5451</v>
      </c>
      <c r="K749" s="17" t="str">
        <f>HYPERLINK("http://ictvonline.org/taxonomyHistory.asp?taxnode_id=20170883","ICTVonline=20170883")</f>
        <v>ICTVonline=20170883</v>
      </c>
      <c r="L749" s="3">
        <v>748</v>
      </c>
    </row>
    <row r="750" spans="1:12" x14ac:dyDescent="0.15">
      <c r="A750" s="1" t="s">
        <v>1341</v>
      </c>
      <c r="B750" s="1" t="s">
        <v>904</v>
      </c>
      <c r="D750" s="1" t="s">
        <v>3225</v>
      </c>
      <c r="E750" s="1" t="s">
        <v>3226</v>
      </c>
      <c r="F750" s="3">
        <v>0</v>
      </c>
      <c r="G750" s="8" t="s">
        <v>2771</v>
      </c>
      <c r="H750" s="8" t="s">
        <v>5160</v>
      </c>
      <c r="I750" s="3">
        <v>30</v>
      </c>
      <c r="J750" s="3" t="s">
        <v>5297</v>
      </c>
      <c r="K750" s="17" t="str">
        <f>HYPERLINK("http://ictvonline.org/taxonomyHistory.asp?taxnode_id=20170885","ICTVonline=20170885")</f>
        <v>ICTVonline=20170885</v>
      </c>
      <c r="L750" s="3">
        <v>749</v>
      </c>
    </row>
    <row r="751" spans="1:12" x14ac:dyDescent="0.15">
      <c r="A751" s="1" t="s">
        <v>1341</v>
      </c>
      <c r="B751" s="1" t="s">
        <v>904</v>
      </c>
      <c r="D751" s="1" t="s">
        <v>3225</v>
      </c>
      <c r="E751" s="1" t="s">
        <v>3227</v>
      </c>
      <c r="F751" s="3">
        <v>1</v>
      </c>
      <c r="G751" s="8" t="s">
        <v>2771</v>
      </c>
      <c r="H751" s="8" t="s">
        <v>5160</v>
      </c>
      <c r="I751" s="3">
        <v>30</v>
      </c>
      <c r="J751" s="3" t="s">
        <v>5297</v>
      </c>
      <c r="K751" s="17" t="str">
        <f>HYPERLINK("http://ictvonline.org/taxonomyHistory.asp?taxnode_id=20170886","ICTVonline=20170886")</f>
        <v>ICTVonline=20170886</v>
      </c>
      <c r="L751" s="3">
        <v>750</v>
      </c>
    </row>
    <row r="752" spans="1:12" x14ac:dyDescent="0.15">
      <c r="A752" s="1" t="s">
        <v>1341</v>
      </c>
      <c r="B752" s="1" t="s">
        <v>904</v>
      </c>
      <c r="D752" s="1" t="s">
        <v>3231</v>
      </c>
      <c r="E752" s="1" t="s">
        <v>3232</v>
      </c>
      <c r="F752" s="3">
        <v>0</v>
      </c>
      <c r="G752" s="8" t="s">
        <v>2771</v>
      </c>
      <c r="H752" s="8" t="s">
        <v>5160</v>
      </c>
      <c r="I752" s="3">
        <v>30</v>
      </c>
      <c r="J752" s="3" t="s">
        <v>5297</v>
      </c>
      <c r="K752" s="17" t="str">
        <f>HYPERLINK("http://ictvonline.org/taxonomyHistory.asp?taxnode_id=20170891","ICTVonline=20170891")</f>
        <v>ICTVonline=20170891</v>
      </c>
      <c r="L752" s="3">
        <v>751</v>
      </c>
    </row>
    <row r="753" spans="1:12" x14ac:dyDescent="0.15">
      <c r="A753" s="1" t="s">
        <v>1341</v>
      </c>
      <c r="B753" s="1" t="s">
        <v>904</v>
      </c>
      <c r="D753" s="1" t="s">
        <v>3231</v>
      </c>
      <c r="E753" s="1" t="s">
        <v>3233</v>
      </c>
      <c r="F753" s="3">
        <v>0</v>
      </c>
      <c r="G753" s="8" t="s">
        <v>2771</v>
      </c>
      <c r="H753" s="8" t="s">
        <v>5160</v>
      </c>
      <c r="I753" s="3">
        <v>30</v>
      </c>
      <c r="J753" s="3" t="s">
        <v>5297</v>
      </c>
      <c r="K753" s="17" t="str">
        <f>HYPERLINK("http://ictvonline.org/taxonomyHistory.asp?taxnode_id=20170892","ICTVonline=20170892")</f>
        <v>ICTVonline=20170892</v>
      </c>
      <c r="L753" s="3">
        <v>752</v>
      </c>
    </row>
    <row r="754" spans="1:12" x14ac:dyDescent="0.15">
      <c r="A754" s="1" t="s">
        <v>1341</v>
      </c>
      <c r="B754" s="1" t="s">
        <v>904</v>
      </c>
      <c r="D754" s="1" t="s">
        <v>3231</v>
      </c>
      <c r="E754" s="1" t="s">
        <v>3234</v>
      </c>
      <c r="F754" s="3">
        <v>0</v>
      </c>
      <c r="G754" s="8" t="s">
        <v>2771</v>
      </c>
      <c r="H754" s="8" t="s">
        <v>5160</v>
      </c>
      <c r="I754" s="3">
        <v>30</v>
      </c>
      <c r="J754" s="3" t="s">
        <v>5297</v>
      </c>
      <c r="K754" s="17" t="str">
        <f>HYPERLINK("http://ictvonline.org/taxonomyHistory.asp?taxnode_id=20170893","ICTVonline=20170893")</f>
        <v>ICTVonline=20170893</v>
      </c>
      <c r="L754" s="3">
        <v>753</v>
      </c>
    </row>
    <row r="755" spans="1:12" x14ac:dyDescent="0.15">
      <c r="A755" s="1" t="s">
        <v>1341</v>
      </c>
      <c r="B755" s="1" t="s">
        <v>904</v>
      </c>
      <c r="D755" s="1" t="s">
        <v>3231</v>
      </c>
      <c r="E755" s="1" t="s">
        <v>3235</v>
      </c>
      <c r="F755" s="3">
        <v>1</v>
      </c>
      <c r="G755" s="8" t="s">
        <v>2771</v>
      </c>
      <c r="H755" s="8" t="s">
        <v>5160</v>
      </c>
      <c r="I755" s="3">
        <v>30</v>
      </c>
      <c r="J755" s="3" t="s">
        <v>5297</v>
      </c>
      <c r="K755" s="17" t="str">
        <f>HYPERLINK("http://ictvonline.org/taxonomyHistory.asp?taxnode_id=20170894","ICTVonline=20170894")</f>
        <v>ICTVonline=20170894</v>
      </c>
      <c r="L755" s="3">
        <v>754</v>
      </c>
    </row>
    <row r="756" spans="1:12" x14ac:dyDescent="0.15">
      <c r="A756" s="1" t="s">
        <v>1341</v>
      </c>
      <c r="B756" s="1" t="s">
        <v>904</v>
      </c>
      <c r="D756" s="1" t="s">
        <v>3231</v>
      </c>
      <c r="E756" s="1" t="s">
        <v>3236</v>
      </c>
      <c r="F756" s="3">
        <v>0</v>
      </c>
      <c r="G756" s="8" t="s">
        <v>2771</v>
      </c>
      <c r="H756" s="8" t="s">
        <v>5160</v>
      </c>
      <c r="I756" s="3">
        <v>30</v>
      </c>
      <c r="J756" s="3" t="s">
        <v>5297</v>
      </c>
      <c r="K756" s="17" t="str">
        <f>HYPERLINK("http://ictvonline.org/taxonomyHistory.asp?taxnode_id=20170895","ICTVonline=20170895")</f>
        <v>ICTVonline=20170895</v>
      </c>
      <c r="L756" s="3">
        <v>755</v>
      </c>
    </row>
    <row r="757" spans="1:12" x14ac:dyDescent="0.15">
      <c r="A757" s="1" t="s">
        <v>1341</v>
      </c>
      <c r="B757" s="1" t="s">
        <v>904</v>
      </c>
      <c r="D757" s="1" t="s">
        <v>3231</v>
      </c>
      <c r="E757" s="1" t="s">
        <v>3237</v>
      </c>
      <c r="F757" s="3">
        <v>0</v>
      </c>
      <c r="G757" s="8" t="s">
        <v>2771</v>
      </c>
      <c r="H757" s="8" t="s">
        <v>5160</v>
      </c>
      <c r="I757" s="3">
        <v>30</v>
      </c>
      <c r="J757" s="3" t="s">
        <v>5297</v>
      </c>
      <c r="K757" s="17" t="str">
        <f>HYPERLINK("http://ictvonline.org/taxonomyHistory.asp?taxnode_id=20170896","ICTVonline=20170896")</f>
        <v>ICTVonline=20170896</v>
      </c>
      <c r="L757" s="3">
        <v>756</v>
      </c>
    </row>
    <row r="758" spans="1:12" x14ac:dyDescent="0.15">
      <c r="A758" s="1" t="s">
        <v>1341</v>
      </c>
      <c r="B758" s="1" t="s">
        <v>904</v>
      </c>
      <c r="D758" s="1" t="s">
        <v>3231</v>
      </c>
      <c r="E758" s="1" t="s">
        <v>3238</v>
      </c>
      <c r="F758" s="3">
        <v>0</v>
      </c>
      <c r="G758" s="8" t="s">
        <v>2771</v>
      </c>
      <c r="H758" s="8" t="s">
        <v>5160</v>
      </c>
      <c r="I758" s="3">
        <v>30</v>
      </c>
      <c r="J758" s="3" t="s">
        <v>5297</v>
      </c>
      <c r="K758" s="17" t="str">
        <f>HYPERLINK("http://ictvonline.org/taxonomyHistory.asp?taxnode_id=20170897","ICTVonline=20170897")</f>
        <v>ICTVonline=20170897</v>
      </c>
      <c r="L758" s="3">
        <v>757</v>
      </c>
    </row>
    <row r="759" spans="1:12" x14ac:dyDescent="0.15">
      <c r="A759" s="1" t="s">
        <v>1341</v>
      </c>
      <c r="B759" s="1" t="s">
        <v>904</v>
      </c>
      <c r="D759" s="1" t="s">
        <v>3231</v>
      </c>
      <c r="E759" s="1" t="s">
        <v>3239</v>
      </c>
      <c r="F759" s="3">
        <v>0</v>
      </c>
      <c r="G759" s="8" t="s">
        <v>2771</v>
      </c>
      <c r="H759" s="8" t="s">
        <v>5160</v>
      </c>
      <c r="I759" s="3">
        <v>30</v>
      </c>
      <c r="J759" s="3" t="s">
        <v>5297</v>
      </c>
      <c r="K759" s="17" t="str">
        <f>HYPERLINK("http://ictvonline.org/taxonomyHistory.asp?taxnode_id=20170898","ICTVonline=20170898")</f>
        <v>ICTVonline=20170898</v>
      </c>
      <c r="L759" s="3">
        <v>758</v>
      </c>
    </row>
    <row r="760" spans="1:12" x14ac:dyDescent="0.15">
      <c r="A760" s="1" t="s">
        <v>1341</v>
      </c>
      <c r="B760" s="1" t="s">
        <v>904</v>
      </c>
      <c r="D760" s="1" t="s">
        <v>3231</v>
      </c>
      <c r="E760" s="1" t="s">
        <v>3240</v>
      </c>
      <c r="F760" s="3">
        <v>0</v>
      </c>
      <c r="G760" s="8" t="s">
        <v>2771</v>
      </c>
      <c r="H760" s="8" t="s">
        <v>5160</v>
      </c>
      <c r="I760" s="3">
        <v>30</v>
      </c>
      <c r="J760" s="3" t="s">
        <v>5297</v>
      </c>
      <c r="K760" s="17" t="str">
        <f>HYPERLINK("http://ictvonline.org/taxonomyHistory.asp?taxnode_id=20170899","ICTVonline=20170899")</f>
        <v>ICTVonline=20170899</v>
      </c>
      <c r="L760" s="3">
        <v>759</v>
      </c>
    </row>
    <row r="761" spans="1:12" x14ac:dyDescent="0.15">
      <c r="A761" s="1" t="s">
        <v>1341</v>
      </c>
      <c r="B761" s="1" t="s">
        <v>904</v>
      </c>
      <c r="D761" s="1" t="s">
        <v>3231</v>
      </c>
      <c r="E761" s="1" t="s">
        <v>3241</v>
      </c>
      <c r="F761" s="3">
        <v>0</v>
      </c>
      <c r="G761" s="8" t="s">
        <v>2771</v>
      </c>
      <c r="H761" s="8" t="s">
        <v>5160</v>
      </c>
      <c r="I761" s="3">
        <v>30</v>
      </c>
      <c r="J761" s="3" t="s">
        <v>5297</v>
      </c>
      <c r="K761" s="17" t="str">
        <f>HYPERLINK("http://ictvonline.org/taxonomyHistory.asp?taxnode_id=20170900","ICTVonline=20170900")</f>
        <v>ICTVonline=20170900</v>
      </c>
      <c r="L761" s="3">
        <v>760</v>
      </c>
    </row>
    <row r="762" spans="1:12" x14ac:dyDescent="0.15">
      <c r="A762" s="1" t="s">
        <v>1341</v>
      </c>
      <c r="B762" s="1" t="s">
        <v>904</v>
      </c>
      <c r="D762" s="1" t="s">
        <v>3231</v>
      </c>
      <c r="E762" s="1" t="s">
        <v>3242</v>
      </c>
      <c r="F762" s="3">
        <v>0</v>
      </c>
      <c r="G762" s="8" t="s">
        <v>2771</v>
      </c>
      <c r="H762" s="8" t="s">
        <v>5160</v>
      </c>
      <c r="I762" s="3">
        <v>30</v>
      </c>
      <c r="J762" s="3" t="s">
        <v>5297</v>
      </c>
      <c r="K762" s="17" t="str">
        <f>HYPERLINK("http://ictvonline.org/taxonomyHistory.asp?taxnode_id=20170901","ICTVonline=20170901")</f>
        <v>ICTVonline=20170901</v>
      </c>
      <c r="L762" s="3">
        <v>761</v>
      </c>
    </row>
    <row r="763" spans="1:12" x14ac:dyDescent="0.15">
      <c r="A763" s="1" t="s">
        <v>1341</v>
      </c>
      <c r="B763" s="1" t="s">
        <v>904</v>
      </c>
      <c r="D763" s="1" t="s">
        <v>3231</v>
      </c>
      <c r="E763" s="1" t="s">
        <v>3243</v>
      </c>
      <c r="F763" s="3">
        <v>0</v>
      </c>
      <c r="G763" s="8" t="s">
        <v>2771</v>
      </c>
      <c r="H763" s="8" t="s">
        <v>5160</v>
      </c>
      <c r="I763" s="3">
        <v>30</v>
      </c>
      <c r="J763" s="3" t="s">
        <v>5297</v>
      </c>
      <c r="K763" s="17" t="str">
        <f>HYPERLINK("http://ictvonline.org/taxonomyHistory.asp?taxnode_id=20170902","ICTVonline=20170902")</f>
        <v>ICTVonline=20170902</v>
      </c>
      <c r="L763" s="3">
        <v>762</v>
      </c>
    </row>
    <row r="764" spans="1:12" x14ac:dyDescent="0.15">
      <c r="A764" s="1" t="s">
        <v>1341</v>
      </c>
      <c r="B764" s="1" t="s">
        <v>904</v>
      </c>
      <c r="D764" s="1" t="s">
        <v>3231</v>
      </c>
      <c r="E764" s="1" t="s">
        <v>3244</v>
      </c>
      <c r="F764" s="3">
        <v>0</v>
      </c>
      <c r="G764" s="8" t="s">
        <v>2771</v>
      </c>
      <c r="H764" s="8" t="s">
        <v>5160</v>
      </c>
      <c r="I764" s="3">
        <v>30</v>
      </c>
      <c r="J764" s="3" t="s">
        <v>5297</v>
      </c>
      <c r="K764" s="17" t="str">
        <f>HYPERLINK("http://ictvonline.org/taxonomyHistory.asp?taxnode_id=20170903","ICTVonline=20170903")</f>
        <v>ICTVonline=20170903</v>
      </c>
      <c r="L764" s="3">
        <v>763</v>
      </c>
    </row>
    <row r="765" spans="1:12" x14ac:dyDescent="0.15">
      <c r="A765" s="1" t="s">
        <v>1341</v>
      </c>
      <c r="B765" s="1" t="s">
        <v>904</v>
      </c>
      <c r="D765" s="1" t="s">
        <v>3231</v>
      </c>
      <c r="E765" s="1" t="s">
        <v>3245</v>
      </c>
      <c r="F765" s="3">
        <v>0</v>
      </c>
      <c r="G765" s="8" t="s">
        <v>2771</v>
      </c>
      <c r="H765" s="8" t="s">
        <v>5160</v>
      </c>
      <c r="I765" s="3">
        <v>30</v>
      </c>
      <c r="J765" s="3" t="s">
        <v>5297</v>
      </c>
      <c r="K765" s="17" t="str">
        <f>HYPERLINK("http://ictvonline.org/taxonomyHistory.asp?taxnode_id=20170904","ICTVonline=20170904")</f>
        <v>ICTVonline=20170904</v>
      </c>
      <c r="L765" s="3">
        <v>764</v>
      </c>
    </row>
    <row r="766" spans="1:12" x14ac:dyDescent="0.15">
      <c r="A766" s="1" t="s">
        <v>1341</v>
      </c>
      <c r="B766" s="1" t="s">
        <v>904</v>
      </c>
      <c r="D766" s="1" t="s">
        <v>3231</v>
      </c>
      <c r="E766" s="1" t="s">
        <v>3246</v>
      </c>
      <c r="F766" s="3">
        <v>0</v>
      </c>
      <c r="G766" s="8" t="s">
        <v>2771</v>
      </c>
      <c r="H766" s="8" t="s">
        <v>5160</v>
      </c>
      <c r="I766" s="3">
        <v>30</v>
      </c>
      <c r="J766" s="3" t="s">
        <v>5297</v>
      </c>
      <c r="K766" s="17" t="str">
        <f>HYPERLINK("http://ictvonline.org/taxonomyHistory.asp?taxnode_id=20170905","ICTVonline=20170905")</f>
        <v>ICTVonline=20170905</v>
      </c>
      <c r="L766" s="3">
        <v>765</v>
      </c>
    </row>
    <row r="767" spans="1:12" x14ac:dyDescent="0.15">
      <c r="A767" s="1" t="s">
        <v>1341</v>
      </c>
      <c r="B767" s="1" t="s">
        <v>904</v>
      </c>
      <c r="D767" s="1" t="s">
        <v>3231</v>
      </c>
      <c r="E767" s="1" t="s">
        <v>3247</v>
      </c>
      <c r="F767" s="3">
        <v>0</v>
      </c>
      <c r="G767" s="8" t="s">
        <v>2771</v>
      </c>
      <c r="H767" s="8" t="s">
        <v>5160</v>
      </c>
      <c r="I767" s="3">
        <v>30</v>
      </c>
      <c r="J767" s="3" t="s">
        <v>5297</v>
      </c>
      <c r="K767" s="17" t="str">
        <f>HYPERLINK("http://ictvonline.org/taxonomyHistory.asp?taxnode_id=20170906","ICTVonline=20170906")</f>
        <v>ICTVonline=20170906</v>
      </c>
      <c r="L767" s="3">
        <v>766</v>
      </c>
    </row>
    <row r="768" spans="1:12" x14ac:dyDescent="0.15">
      <c r="A768" s="1" t="s">
        <v>1341</v>
      </c>
      <c r="B768" s="1" t="s">
        <v>904</v>
      </c>
      <c r="D768" s="1" t="s">
        <v>3231</v>
      </c>
      <c r="E768" s="1" t="s">
        <v>3248</v>
      </c>
      <c r="F768" s="3">
        <v>0</v>
      </c>
      <c r="G768" s="8" t="s">
        <v>2771</v>
      </c>
      <c r="H768" s="8" t="s">
        <v>5160</v>
      </c>
      <c r="I768" s="3">
        <v>30</v>
      </c>
      <c r="J768" s="3" t="s">
        <v>5297</v>
      </c>
      <c r="K768" s="17" t="str">
        <f>HYPERLINK("http://ictvonline.org/taxonomyHistory.asp?taxnode_id=20170907","ICTVonline=20170907")</f>
        <v>ICTVonline=20170907</v>
      </c>
      <c r="L768" s="3">
        <v>767</v>
      </c>
    </row>
    <row r="769" spans="1:12" x14ac:dyDescent="0.15">
      <c r="A769" s="1" t="s">
        <v>1341</v>
      </c>
      <c r="B769" s="1" t="s">
        <v>904</v>
      </c>
      <c r="D769" s="1" t="s">
        <v>3231</v>
      </c>
      <c r="E769" s="1" t="s">
        <v>3249</v>
      </c>
      <c r="F769" s="3">
        <v>0</v>
      </c>
      <c r="G769" s="8" t="s">
        <v>2771</v>
      </c>
      <c r="H769" s="8" t="s">
        <v>5160</v>
      </c>
      <c r="I769" s="3">
        <v>30</v>
      </c>
      <c r="J769" s="3" t="s">
        <v>5297</v>
      </c>
      <c r="K769" s="17" t="str">
        <f>HYPERLINK("http://ictvonline.org/taxonomyHistory.asp?taxnode_id=20170908","ICTVonline=20170908")</f>
        <v>ICTVonline=20170908</v>
      </c>
      <c r="L769" s="3">
        <v>768</v>
      </c>
    </row>
    <row r="770" spans="1:12" x14ac:dyDescent="0.15">
      <c r="A770" s="1" t="s">
        <v>1341</v>
      </c>
      <c r="B770" s="1" t="s">
        <v>904</v>
      </c>
      <c r="D770" s="1" t="s">
        <v>3231</v>
      </c>
      <c r="E770" s="1" t="s">
        <v>3250</v>
      </c>
      <c r="F770" s="3">
        <v>0</v>
      </c>
      <c r="G770" s="8" t="s">
        <v>2771</v>
      </c>
      <c r="H770" s="8" t="s">
        <v>5160</v>
      </c>
      <c r="I770" s="3">
        <v>30</v>
      </c>
      <c r="J770" s="3" t="s">
        <v>5297</v>
      </c>
      <c r="K770" s="17" t="str">
        <f>HYPERLINK("http://ictvonline.org/taxonomyHistory.asp?taxnode_id=20170909","ICTVonline=20170909")</f>
        <v>ICTVonline=20170909</v>
      </c>
      <c r="L770" s="3">
        <v>769</v>
      </c>
    </row>
    <row r="771" spans="1:12" x14ac:dyDescent="0.15">
      <c r="A771" s="1" t="s">
        <v>1341</v>
      </c>
      <c r="B771" s="1" t="s">
        <v>904</v>
      </c>
      <c r="D771" s="1" t="s">
        <v>3231</v>
      </c>
      <c r="E771" s="1" t="s">
        <v>3251</v>
      </c>
      <c r="F771" s="3">
        <v>0</v>
      </c>
      <c r="G771" s="8" t="s">
        <v>2771</v>
      </c>
      <c r="H771" s="8" t="s">
        <v>5160</v>
      </c>
      <c r="I771" s="3">
        <v>30</v>
      </c>
      <c r="J771" s="3" t="s">
        <v>5297</v>
      </c>
      <c r="K771" s="17" t="str">
        <f>HYPERLINK("http://ictvonline.org/taxonomyHistory.asp?taxnode_id=20170910","ICTVonline=20170910")</f>
        <v>ICTVonline=20170910</v>
      </c>
      <c r="L771" s="3">
        <v>770</v>
      </c>
    </row>
    <row r="772" spans="1:12" x14ac:dyDescent="0.15">
      <c r="A772" s="1" t="s">
        <v>1341</v>
      </c>
      <c r="B772" s="1" t="s">
        <v>904</v>
      </c>
      <c r="D772" s="1" t="s">
        <v>3231</v>
      </c>
      <c r="E772" s="1" t="s">
        <v>3252</v>
      </c>
      <c r="F772" s="3">
        <v>0</v>
      </c>
      <c r="G772" s="8" t="s">
        <v>2771</v>
      </c>
      <c r="H772" s="8" t="s">
        <v>5160</v>
      </c>
      <c r="I772" s="3">
        <v>30</v>
      </c>
      <c r="J772" s="3" t="s">
        <v>5297</v>
      </c>
      <c r="K772" s="17" t="str">
        <f>HYPERLINK("http://ictvonline.org/taxonomyHistory.asp?taxnode_id=20170911","ICTVonline=20170911")</f>
        <v>ICTVonline=20170911</v>
      </c>
      <c r="L772" s="3">
        <v>771</v>
      </c>
    </row>
    <row r="773" spans="1:12" x14ac:dyDescent="0.15">
      <c r="A773" s="1" t="s">
        <v>1341</v>
      </c>
      <c r="B773" s="1" t="s">
        <v>904</v>
      </c>
      <c r="D773" s="1" t="s">
        <v>3231</v>
      </c>
      <c r="E773" s="1" t="s">
        <v>3253</v>
      </c>
      <c r="F773" s="3">
        <v>0</v>
      </c>
      <c r="G773" s="8" t="s">
        <v>2771</v>
      </c>
      <c r="H773" s="8" t="s">
        <v>5160</v>
      </c>
      <c r="I773" s="3">
        <v>30</v>
      </c>
      <c r="J773" s="3" t="s">
        <v>5297</v>
      </c>
      <c r="K773" s="17" t="str">
        <f>HYPERLINK("http://ictvonline.org/taxonomyHistory.asp?taxnode_id=20170912","ICTVonline=20170912")</f>
        <v>ICTVonline=20170912</v>
      </c>
      <c r="L773" s="3">
        <v>772</v>
      </c>
    </row>
    <row r="774" spans="1:12" x14ac:dyDescent="0.15">
      <c r="A774" s="1" t="s">
        <v>1341</v>
      </c>
      <c r="B774" s="1" t="s">
        <v>904</v>
      </c>
      <c r="D774" s="1" t="s">
        <v>3231</v>
      </c>
      <c r="E774" s="1" t="s">
        <v>3254</v>
      </c>
      <c r="F774" s="3">
        <v>0</v>
      </c>
      <c r="G774" s="8" t="s">
        <v>2771</v>
      </c>
      <c r="H774" s="8" t="s">
        <v>5160</v>
      </c>
      <c r="I774" s="3">
        <v>30</v>
      </c>
      <c r="J774" s="3" t="s">
        <v>5297</v>
      </c>
      <c r="K774" s="17" t="str">
        <f>HYPERLINK("http://ictvonline.org/taxonomyHistory.asp?taxnode_id=20170913","ICTVonline=20170913")</f>
        <v>ICTVonline=20170913</v>
      </c>
      <c r="L774" s="3">
        <v>773</v>
      </c>
    </row>
    <row r="775" spans="1:12" x14ac:dyDescent="0.15">
      <c r="A775" s="1" t="s">
        <v>1341</v>
      </c>
      <c r="B775" s="1" t="s">
        <v>904</v>
      </c>
      <c r="D775" s="1" t="s">
        <v>3231</v>
      </c>
      <c r="E775" s="1" t="s">
        <v>3255</v>
      </c>
      <c r="F775" s="3">
        <v>0</v>
      </c>
      <c r="G775" s="8" t="s">
        <v>2771</v>
      </c>
      <c r="H775" s="8" t="s">
        <v>5160</v>
      </c>
      <c r="I775" s="3">
        <v>30</v>
      </c>
      <c r="J775" s="3" t="s">
        <v>5297</v>
      </c>
      <c r="K775" s="17" t="str">
        <f>HYPERLINK("http://ictvonline.org/taxonomyHistory.asp?taxnode_id=20170914","ICTVonline=20170914")</f>
        <v>ICTVonline=20170914</v>
      </c>
      <c r="L775" s="3">
        <v>774</v>
      </c>
    </row>
    <row r="776" spans="1:12" x14ac:dyDescent="0.15">
      <c r="A776" s="1" t="s">
        <v>1341</v>
      </c>
      <c r="B776" s="1" t="s">
        <v>904</v>
      </c>
      <c r="D776" s="1" t="s">
        <v>3231</v>
      </c>
      <c r="E776" s="1" t="s">
        <v>3256</v>
      </c>
      <c r="F776" s="3">
        <v>0</v>
      </c>
      <c r="G776" s="8" t="s">
        <v>2771</v>
      </c>
      <c r="H776" s="8" t="s">
        <v>5160</v>
      </c>
      <c r="I776" s="3">
        <v>30</v>
      </c>
      <c r="J776" s="3" t="s">
        <v>5297</v>
      </c>
      <c r="K776" s="17" t="str">
        <f>HYPERLINK("http://ictvonline.org/taxonomyHistory.asp?taxnode_id=20170915","ICTVonline=20170915")</f>
        <v>ICTVonline=20170915</v>
      </c>
      <c r="L776" s="3">
        <v>775</v>
      </c>
    </row>
    <row r="777" spans="1:12" x14ac:dyDescent="0.15">
      <c r="A777" s="1" t="s">
        <v>1341</v>
      </c>
      <c r="B777" s="1" t="s">
        <v>904</v>
      </c>
      <c r="D777" s="1" t="s">
        <v>3231</v>
      </c>
      <c r="E777" s="1" t="s">
        <v>3257</v>
      </c>
      <c r="F777" s="3">
        <v>0</v>
      </c>
      <c r="G777" s="8" t="s">
        <v>2771</v>
      </c>
      <c r="H777" s="8" t="s">
        <v>5160</v>
      </c>
      <c r="I777" s="3">
        <v>30</v>
      </c>
      <c r="J777" s="3" t="s">
        <v>5297</v>
      </c>
      <c r="K777" s="17" t="str">
        <f>HYPERLINK("http://ictvonline.org/taxonomyHistory.asp?taxnode_id=20170916","ICTVonline=20170916")</f>
        <v>ICTVonline=20170916</v>
      </c>
      <c r="L777" s="3">
        <v>776</v>
      </c>
    </row>
    <row r="778" spans="1:12" x14ac:dyDescent="0.15">
      <c r="A778" s="1" t="s">
        <v>1341</v>
      </c>
      <c r="B778" s="1" t="s">
        <v>904</v>
      </c>
      <c r="D778" s="1" t="s">
        <v>3231</v>
      </c>
      <c r="E778" s="1" t="s">
        <v>3258</v>
      </c>
      <c r="F778" s="3">
        <v>0</v>
      </c>
      <c r="G778" s="8" t="s">
        <v>2771</v>
      </c>
      <c r="H778" s="8" t="s">
        <v>5160</v>
      </c>
      <c r="I778" s="3">
        <v>30</v>
      </c>
      <c r="J778" s="3" t="s">
        <v>5297</v>
      </c>
      <c r="K778" s="17" t="str">
        <f>HYPERLINK("http://ictvonline.org/taxonomyHistory.asp?taxnode_id=20170917","ICTVonline=20170917")</f>
        <v>ICTVonline=20170917</v>
      </c>
      <c r="L778" s="3">
        <v>777</v>
      </c>
    </row>
    <row r="779" spans="1:12" x14ac:dyDescent="0.15">
      <c r="A779" s="1" t="s">
        <v>1341</v>
      </c>
      <c r="B779" s="1" t="s">
        <v>904</v>
      </c>
      <c r="D779" s="1" t="s">
        <v>3231</v>
      </c>
      <c r="E779" s="1" t="s">
        <v>3259</v>
      </c>
      <c r="F779" s="3">
        <v>0</v>
      </c>
      <c r="G779" s="8" t="s">
        <v>2771</v>
      </c>
      <c r="H779" s="8" t="s">
        <v>5160</v>
      </c>
      <c r="I779" s="3">
        <v>30</v>
      </c>
      <c r="J779" s="3" t="s">
        <v>5297</v>
      </c>
      <c r="K779" s="17" t="str">
        <f>HYPERLINK("http://ictvonline.org/taxonomyHistory.asp?taxnode_id=20170918","ICTVonline=20170918")</f>
        <v>ICTVonline=20170918</v>
      </c>
      <c r="L779" s="3">
        <v>778</v>
      </c>
    </row>
    <row r="780" spans="1:12" x14ac:dyDescent="0.15">
      <c r="A780" s="1" t="s">
        <v>1341</v>
      </c>
      <c r="B780" s="1" t="s">
        <v>904</v>
      </c>
      <c r="D780" s="1" t="s">
        <v>3264</v>
      </c>
      <c r="E780" s="1" t="s">
        <v>3265</v>
      </c>
      <c r="F780" s="3">
        <v>1</v>
      </c>
      <c r="G780" s="8" t="s">
        <v>2771</v>
      </c>
      <c r="H780" s="8" t="s">
        <v>5160</v>
      </c>
      <c r="I780" s="3">
        <v>30</v>
      </c>
      <c r="J780" s="3" t="s">
        <v>5297</v>
      </c>
      <c r="K780" s="17" t="str">
        <f>HYPERLINK("http://ictvonline.org/taxonomyHistory.asp?taxnode_id=20170924","ICTVonline=20170924")</f>
        <v>ICTVonline=20170924</v>
      </c>
      <c r="L780" s="3">
        <v>779</v>
      </c>
    </row>
    <row r="781" spans="1:12" x14ac:dyDescent="0.15">
      <c r="A781" s="1" t="s">
        <v>1341</v>
      </c>
      <c r="B781" s="1" t="s">
        <v>904</v>
      </c>
      <c r="D781" s="1" t="s">
        <v>3264</v>
      </c>
      <c r="E781" s="1" t="s">
        <v>3266</v>
      </c>
      <c r="F781" s="3">
        <v>0</v>
      </c>
      <c r="G781" s="8" t="s">
        <v>2771</v>
      </c>
      <c r="H781" s="8" t="s">
        <v>5160</v>
      </c>
      <c r="I781" s="3">
        <v>30</v>
      </c>
      <c r="J781" s="3" t="s">
        <v>5297</v>
      </c>
      <c r="K781" s="17" t="str">
        <f>HYPERLINK("http://ictvonline.org/taxonomyHistory.asp?taxnode_id=20170925","ICTVonline=20170925")</f>
        <v>ICTVonline=20170925</v>
      </c>
      <c r="L781" s="3">
        <v>780</v>
      </c>
    </row>
    <row r="782" spans="1:12" x14ac:dyDescent="0.15">
      <c r="A782" s="1" t="s">
        <v>1341</v>
      </c>
      <c r="B782" s="1" t="s">
        <v>904</v>
      </c>
      <c r="D782" s="1" t="s">
        <v>3264</v>
      </c>
      <c r="E782" s="1" t="s">
        <v>3267</v>
      </c>
      <c r="F782" s="3">
        <v>0</v>
      </c>
      <c r="G782" s="8" t="s">
        <v>2771</v>
      </c>
      <c r="H782" s="8" t="s">
        <v>5160</v>
      </c>
      <c r="I782" s="3">
        <v>30</v>
      </c>
      <c r="J782" s="3" t="s">
        <v>5297</v>
      </c>
      <c r="K782" s="17" t="str">
        <f>HYPERLINK("http://ictvonline.org/taxonomyHistory.asp?taxnode_id=20170926","ICTVonline=20170926")</f>
        <v>ICTVonline=20170926</v>
      </c>
      <c r="L782" s="3">
        <v>781</v>
      </c>
    </row>
    <row r="783" spans="1:12" x14ac:dyDescent="0.15">
      <c r="A783" s="1" t="s">
        <v>1341</v>
      </c>
      <c r="B783" s="1" t="s">
        <v>904</v>
      </c>
      <c r="D783" s="1" t="s">
        <v>3264</v>
      </c>
      <c r="E783" s="1" t="s">
        <v>3268</v>
      </c>
      <c r="F783" s="3">
        <v>0</v>
      </c>
      <c r="G783" s="8" t="s">
        <v>2771</v>
      </c>
      <c r="H783" s="8" t="s">
        <v>5160</v>
      </c>
      <c r="I783" s="3">
        <v>30</v>
      </c>
      <c r="J783" s="3" t="s">
        <v>5297</v>
      </c>
      <c r="K783" s="17" t="str">
        <f>HYPERLINK("http://ictvonline.org/taxonomyHistory.asp?taxnode_id=20170927","ICTVonline=20170927")</f>
        <v>ICTVonline=20170927</v>
      </c>
      <c r="L783" s="3">
        <v>782</v>
      </c>
    </row>
    <row r="784" spans="1:12" x14ac:dyDescent="0.15">
      <c r="A784" s="1" t="s">
        <v>1341</v>
      </c>
      <c r="B784" s="1" t="s">
        <v>904</v>
      </c>
      <c r="D784" s="1" t="s">
        <v>3264</v>
      </c>
      <c r="E784" s="1" t="s">
        <v>3269</v>
      </c>
      <c r="F784" s="3">
        <v>0</v>
      </c>
      <c r="G784" s="8" t="s">
        <v>2771</v>
      </c>
      <c r="H784" s="8" t="s">
        <v>5160</v>
      </c>
      <c r="I784" s="3">
        <v>30</v>
      </c>
      <c r="J784" s="3" t="s">
        <v>5297</v>
      </c>
      <c r="K784" s="17" t="str">
        <f>HYPERLINK("http://ictvonline.org/taxonomyHistory.asp?taxnode_id=20170928","ICTVonline=20170928")</f>
        <v>ICTVonline=20170928</v>
      </c>
      <c r="L784" s="3">
        <v>783</v>
      </c>
    </row>
    <row r="785" spans="1:12" x14ac:dyDescent="0.15">
      <c r="A785" s="1" t="s">
        <v>1341</v>
      </c>
      <c r="B785" s="1" t="s">
        <v>904</v>
      </c>
      <c r="D785" s="1" t="s">
        <v>3270</v>
      </c>
      <c r="E785" s="1" t="s">
        <v>3271</v>
      </c>
      <c r="F785" s="3">
        <v>0</v>
      </c>
      <c r="G785" s="8" t="s">
        <v>2771</v>
      </c>
      <c r="H785" s="8" t="s">
        <v>5160</v>
      </c>
      <c r="I785" s="3">
        <v>30</v>
      </c>
      <c r="J785" s="3" t="s">
        <v>5297</v>
      </c>
      <c r="K785" s="17" t="str">
        <f>HYPERLINK("http://ictvonline.org/taxonomyHistory.asp?taxnode_id=20170930","ICTVonline=20170930")</f>
        <v>ICTVonline=20170930</v>
      </c>
      <c r="L785" s="3">
        <v>784</v>
      </c>
    </row>
    <row r="786" spans="1:12" x14ac:dyDescent="0.15">
      <c r="A786" s="1" t="s">
        <v>1341</v>
      </c>
      <c r="B786" s="1" t="s">
        <v>904</v>
      </c>
      <c r="D786" s="1" t="s">
        <v>3270</v>
      </c>
      <c r="E786" s="1" t="s">
        <v>3272</v>
      </c>
      <c r="F786" s="3">
        <v>0</v>
      </c>
      <c r="G786" s="8" t="s">
        <v>2771</v>
      </c>
      <c r="H786" s="8" t="s">
        <v>5160</v>
      </c>
      <c r="I786" s="3">
        <v>30</v>
      </c>
      <c r="J786" s="3" t="s">
        <v>5297</v>
      </c>
      <c r="K786" s="17" t="str">
        <f>HYPERLINK("http://ictvonline.org/taxonomyHistory.asp?taxnode_id=20170931","ICTVonline=20170931")</f>
        <v>ICTVonline=20170931</v>
      </c>
      <c r="L786" s="3">
        <v>785</v>
      </c>
    </row>
    <row r="787" spans="1:12" x14ac:dyDescent="0.15">
      <c r="A787" s="1" t="s">
        <v>1341</v>
      </c>
      <c r="B787" s="1" t="s">
        <v>904</v>
      </c>
      <c r="D787" s="1" t="s">
        <v>3270</v>
      </c>
      <c r="E787" s="1" t="s">
        <v>3273</v>
      </c>
      <c r="F787" s="3">
        <v>1</v>
      </c>
      <c r="G787" s="8" t="s">
        <v>2771</v>
      </c>
      <c r="H787" s="8" t="s">
        <v>5160</v>
      </c>
      <c r="I787" s="3">
        <v>30</v>
      </c>
      <c r="J787" s="3" t="s">
        <v>5297</v>
      </c>
      <c r="K787" s="17" t="str">
        <f>HYPERLINK("http://ictvonline.org/taxonomyHistory.asp?taxnode_id=20170932","ICTVonline=20170932")</f>
        <v>ICTVonline=20170932</v>
      </c>
      <c r="L787" s="3">
        <v>786</v>
      </c>
    </row>
    <row r="788" spans="1:12" x14ac:dyDescent="0.15">
      <c r="A788" s="1" t="s">
        <v>1341</v>
      </c>
      <c r="B788" s="1" t="s">
        <v>904</v>
      </c>
      <c r="D788" s="1" t="s">
        <v>3270</v>
      </c>
      <c r="E788" s="1" t="s">
        <v>3274</v>
      </c>
      <c r="F788" s="3">
        <v>0</v>
      </c>
      <c r="G788" s="8" t="s">
        <v>2771</v>
      </c>
      <c r="H788" s="8" t="s">
        <v>5160</v>
      </c>
      <c r="I788" s="3">
        <v>30</v>
      </c>
      <c r="J788" s="3" t="s">
        <v>5297</v>
      </c>
      <c r="K788" s="17" t="str">
        <f>HYPERLINK("http://ictvonline.org/taxonomyHistory.asp?taxnode_id=20170933","ICTVonline=20170933")</f>
        <v>ICTVonline=20170933</v>
      </c>
      <c r="L788" s="3">
        <v>787</v>
      </c>
    </row>
    <row r="789" spans="1:12" x14ac:dyDescent="0.15">
      <c r="A789" s="1" t="s">
        <v>1341</v>
      </c>
      <c r="B789" s="1" t="s">
        <v>904</v>
      </c>
      <c r="D789" s="1" t="s">
        <v>3270</v>
      </c>
      <c r="E789" s="1" t="s">
        <v>3275</v>
      </c>
      <c r="F789" s="3">
        <v>0</v>
      </c>
      <c r="G789" s="8" t="s">
        <v>2771</v>
      </c>
      <c r="H789" s="8" t="s">
        <v>5160</v>
      </c>
      <c r="I789" s="3">
        <v>30</v>
      </c>
      <c r="J789" s="3" t="s">
        <v>5297</v>
      </c>
      <c r="K789" s="17" t="str">
        <f>HYPERLINK("http://ictvonline.org/taxonomyHistory.asp?taxnode_id=20170934","ICTVonline=20170934")</f>
        <v>ICTVonline=20170934</v>
      </c>
      <c r="L789" s="3">
        <v>788</v>
      </c>
    </row>
    <row r="790" spans="1:12" x14ac:dyDescent="0.15">
      <c r="A790" s="1" t="s">
        <v>1341</v>
      </c>
      <c r="B790" s="1" t="s">
        <v>904</v>
      </c>
      <c r="D790" s="1" t="s">
        <v>3270</v>
      </c>
      <c r="E790" s="1" t="s">
        <v>3276</v>
      </c>
      <c r="F790" s="3">
        <v>0</v>
      </c>
      <c r="G790" s="8" t="s">
        <v>2771</v>
      </c>
      <c r="H790" s="8" t="s">
        <v>5160</v>
      </c>
      <c r="I790" s="3">
        <v>30</v>
      </c>
      <c r="J790" s="3" t="s">
        <v>5297</v>
      </c>
      <c r="K790" s="17" t="str">
        <f>HYPERLINK("http://ictvonline.org/taxonomyHistory.asp?taxnode_id=20170935","ICTVonline=20170935")</f>
        <v>ICTVonline=20170935</v>
      </c>
      <c r="L790" s="3">
        <v>789</v>
      </c>
    </row>
    <row r="791" spans="1:12" x14ac:dyDescent="0.15">
      <c r="A791" s="1" t="s">
        <v>1341</v>
      </c>
      <c r="B791" s="1" t="s">
        <v>904</v>
      </c>
      <c r="D791" s="1" t="s">
        <v>3270</v>
      </c>
      <c r="E791" s="1" t="s">
        <v>3277</v>
      </c>
      <c r="F791" s="3">
        <v>0</v>
      </c>
      <c r="G791" s="8" t="s">
        <v>2771</v>
      </c>
      <c r="H791" s="8" t="s">
        <v>5160</v>
      </c>
      <c r="I791" s="3">
        <v>30</v>
      </c>
      <c r="J791" s="3" t="s">
        <v>5297</v>
      </c>
      <c r="K791" s="17" t="str">
        <f>HYPERLINK("http://ictvonline.org/taxonomyHistory.asp?taxnode_id=20170936","ICTVonline=20170936")</f>
        <v>ICTVonline=20170936</v>
      </c>
      <c r="L791" s="3">
        <v>790</v>
      </c>
    </row>
    <row r="792" spans="1:12" x14ac:dyDescent="0.15">
      <c r="A792" s="1" t="s">
        <v>1341</v>
      </c>
      <c r="B792" s="1" t="s">
        <v>904</v>
      </c>
      <c r="D792" s="1" t="s">
        <v>3270</v>
      </c>
      <c r="E792" s="1" t="s">
        <v>3278</v>
      </c>
      <c r="F792" s="3">
        <v>0</v>
      </c>
      <c r="G792" s="8" t="s">
        <v>2771</v>
      </c>
      <c r="H792" s="8" t="s">
        <v>5160</v>
      </c>
      <c r="I792" s="3">
        <v>30</v>
      </c>
      <c r="J792" s="3" t="s">
        <v>5297</v>
      </c>
      <c r="K792" s="17" t="str">
        <f>HYPERLINK("http://ictvonline.org/taxonomyHistory.asp?taxnode_id=20170937","ICTVonline=20170937")</f>
        <v>ICTVonline=20170937</v>
      </c>
      <c r="L792" s="3">
        <v>791</v>
      </c>
    </row>
    <row r="793" spans="1:12" x14ac:dyDescent="0.15">
      <c r="A793" s="1" t="s">
        <v>1341</v>
      </c>
      <c r="B793" s="1" t="s">
        <v>904</v>
      </c>
      <c r="D793" s="1" t="s">
        <v>3270</v>
      </c>
      <c r="E793" s="1" t="s">
        <v>3279</v>
      </c>
      <c r="F793" s="3">
        <v>0</v>
      </c>
      <c r="G793" s="8" t="s">
        <v>2771</v>
      </c>
      <c r="H793" s="8" t="s">
        <v>5160</v>
      </c>
      <c r="I793" s="3">
        <v>30</v>
      </c>
      <c r="J793" s="3" t="s">
        <v>5297</v>
      </c>
      <c r="K793" s="17" t="str">
        <f>HYPERLINK("http://ictvonline.org/taxonomyHistory.asp?taxnode_id=20170938","ICTVonline=20170938")</f>
        <v>ICTVonline=20170938</v>
      </c>
      <c r="L793" s="3">
        <v>792</v>
      </c>
    </row>
    <row r="794" spans="1:12" x14ac:dyDescent="0.15">
      <c r="A794" s="1" t="s">
        <v>1341</v>
      </c>
      <c r="B794" s="1" t="s">
        <v>904</v>
      </c>
      <c r="D794" s="1" t="s">
        <v>3280</v>
      </c>
      <c r="E794" s="1" t="s">
        <v>3281</v>
      </c>
      <c r="F794" s="3">
        <v>1</v>
      </c>
      <c r="G794" s="8" t="s">
        <v>2771</v>
      </c>
      <c r="H794" s="8" t="s">
        <v>5160</v>
      </c>
      <c r="I794" s="3">
        <v>30</v>
      </c>
      <c r="J794" s="3" t="s">
        <v>5297</v>
      </c>
      <c r="K794" s="17" t="str">
        <f>HYPERLINK("http://ictvonline.org/taxonomyHistory.asp?taxnode_id=20170940","ICTVonline=20170940")</f>
        <v>ICTVonline=20170940</v>
      </c>
      <c r="L794" s="3">
        <v>793</v>
      </c>
    </row>
    <row r="795" spans="1:12" x14ac:dyDescent="0.15">
      <c r="A795" s="1" t="s">
        <v>1341</v>
      </c>
      <c r="B795" s="1" t="s">
        <v>904</v>
      </c>
      <c r="D795" s="1" t="s">
        <v>3280</v>
      </c>
      <c r="E795" s="1" t="s">
        <v>3282</v>
      </c>
      <c r="F795" s="3">
        <v>0</v>
      </c>
      <c r="G795" s="8" t="s">
        <v>2771</v>
      </c>
      <c r="H795" s="8" t="s">
        <v>5160</v>
      </c>
      <c r="I795" s="3">
        <v>30</v>
      </c>
      <c r="J795" s="3" t="s">
        <v>5297</v>
      </c>
      <c r="K795" s="17" t="str">
        <f>HYPERLINK("http://ictvonline.org/taxonomyHistory.asp?taxnode_id=20170941","ICTVonline=20170941")</f>
        <v>ICTVonline=20170941</v>
      </c>
      <c r="L795" s="3">
        <v>794</v>
      </c>
    </row>
    <row r="796" spans="1:12" x14ac:dyDescent="0.15">
      <c r="A796" s="1" t="s">
        <v>1341</v>
      </c>
      <c r="B796" s="1" t="s">
        <v>904</v>
      </c>
      <c r="D796" s="1" t="s">
        <v>4567</v>
      </c>
      <c r="E796" s="1" t="s">
        <v>4568</v>
      </c>
      <c r="F796" s="3">
        <v>1</v>
      </c>
      <c r="G796" s="8" t="s">
        <v>2771</v>
      </c>
      <c r="H796" s="8" t="s">
        <v>5159</v>
      </c>
      <c r="I796" s="3">
        <v>31</v>
      </c>
      <c r="J796" s="3" t="s">
        <v>5452</v>
      </c>
      <c r="K796" s="17" t="str">
        <f>HYPERLINK("http://ictvonline.org/taxonomyHistory.asp?taxnode_id=20170943","ICTVonline=20170943")</f>
        <v>ICTVonline=20170943</v>
      </c>
      <c r="L796" s="3">
        <v>795</v>
      </c>
    </row>
    <row r="797" spans="1:12" x14ac:dyDescent="0.15">
      <c r="A797" s="1" t="s">
        <v>1341</v>
      </c>
      <c r="B797" s="1" t="s">
        <v>904</v>
      </c>
      <c r="D797" s="1" t="s">
        <v>3283</v>
      </c>
      <c r="E797" s="1" t="s">
        <v>3284</v>
      </c>
      <c r="F797" s="3">
        <v>1</v>
      </c>
      <c r="G797" s="8" t="s">
        <v>2771</v>
      </c>
      <c r="H797" s="8" t="s">
        <v>5160</v>
      </c>
      <c r="I797" s="3">
        <v>30</v>
      </c>
      <c r="J797" s="3" t="s">
        <v>5297</v>
      </c>
      <c r="K797" s="17" t="str">
        <f>HYPERLINK("http://ictvonline.org/taxonomyHistory.asp?taxnode_id=20170945","ICTVonline=20170945")</f>
        <v>ICTVonline=20170945</v>
      </c>
      <c r="L797" s="3">
        <v>796</v>
      </c>
    </row>
    <row r="798" spans="1:12" x14ac:dyDescent="0.15">
      <c r="A798" s="1" t="s">
        <v>1341</v>
      </c>
      <c r="B798" s="1" t="s">
        <v>904</v>
      </c>
      <c r="D798" s="1" t="s">
        <v>3283</v>
      </c>
      <c r="E798" s="1" t="s">
        <v>3285</v>
      </c>
      <c r="F798" s="3">
        <v>0</v>
      </c>
      <c r="G798" s="8" t="s">
        <v>2771</v>
      </c>
      <c r="H798" s="8" t="s">
        <v>5160</v>
      </c>
      <c r="I798" s="3">
        <v>30</v>
      </c>
      <c r="J798" s="3" t="s">
        <v>5297</v>
      </c>
      <c r="K798" s="17" t="str">
        <f>HYPERLINK("http://ictvonline.org/taxonomyHistory.asp?taxnode_id=20170946","ICTVonline=20170946")</f>
        <v>ICTVonline=20170946</v>
      </c>
      <c r="L798" s="3">
        <v>797</v>
      </c>
    </row>
    <row r="799" spans="1:12" x14ac:dyDescent="0.15">
      <c r="A799" s="1" t="s">
        <v>1341</v>
      </c>
      <c r="B799" s="1" t="s">
        <v>904</v>
      </c>
      <c r="D799" s="1" t="s">
        <v>3283</v>
      </c>
      <c r="E799" s="1" t="s">
        <v>3286</v>
      </c>
      <c r="F799" s="3">
        <v>0</v>
      </c>
      <c r="G799" s="8" t="s">
        <v>2771</v>
      </c>
      <c r="H799" s="8" t="s">
        <v>5160</v>
      </c>
      <c r="I799" s="3">
        <v>30</v>
      </c>
      <c r="J799" s="3" t="s">
        <v>5297</v>
      </c>
      <c r="K799" s="17" t="str">
        <f>HYPERLINK("http://ictvonline.org/taxonomyHistory.asp?taxnode_id=20170947","ICTVonline=20170947")</f>
        <v>ICTVonline=20170947</v>
      </c>
      <c r="L799" s="3">
        <v>798</v>
      </c>
    </row>
    <row r="800" spans="1:12" x14ac:dyDescent="0.15">
      <c r="A800" s="1" t="s">
        <v>1341</v>
      </c>
      <c r="B800" s="1" t="s">
        <v>904</v>
      </c>
      <c r="D800" s="1" t="s">
        <v>3283</v>
      </c>
      <c r="E800" s="1" t="s">
        <v>3287</v>
      </c>
      <c r="F800" s="3">
        <v>0</v>
      </c>
      <c r="G800" s="8" t="s">
        <v>2771</v>
      </c>
      <c r="H800" s="8" t="s">
        <v>5160</v>
      </c>
      <c r="I800" s="3">
        <v>30</v>
      </c>
      <c r="J800" s="3" t="s">
        <v>5297</v>
      </c>
      <c r="K800" s="17" t="str">
        <f>HYPERLINK("http://ictvonline.org/taxonomyHistory.asp?taxnode_id=20170948","ICTVonline=20170948")</f>
        <v>ICTVonline=20170948</v>
      </c>
      <c r="L800" s="3">
        <v>799</v>
      </c>
    </row>
    <row r="801" spans="1:12" x14ac:dyDescent="0.15">
      <c r="A801" s="1" t="s">
        <v>1341</v>
      </c>
      <c r="B801" s="1" t="s">
        <v>904</v>
      </c>
      <c r="D801" s="1" t="s">
        <v>3283</v>
      </c>
      <c r="E801" s="1" t="s">
        <v>3288</v>
      </c>
      <c r="F801" s="3">
        <v>0</v>
      </c>
      <c r="G801" s="8" t="s">
        <v>2771</v>
      </c>
      <c r="H801" s="8" t="s">
        <v>5160</v>
      </c>
      <c r="I801" s="3">
        <v>30</v>
      </c>
      <c r="J801" s="3" t="s">
        <v>5297</v>
      </c>
      <c r="K801" s="17" t="str">
        <f>HYPERLINK("http://ictvonline.org/taxonomyHistory.asp?taxnode_id=20170949","ICTVonline=20170949")</f>
        <v>ICTVonline=20170949</v>
      </c>
      <c r="L801" s="3">
        <v>800</v>
      </c>
    </row>
    <row r="802" spans="1:12" x14ac:dyDescent="0.15">
      <c r="A802" s="1" t="s">
        <v>1341</v>
      </c>
      <c r="B802" s="1" t="s">
        <v>904</v>
      </c>
      <c r="D802" s="1" t="s">
        <v>3283</v>
      </c>
      <c r="E802" s="1" t="s">
        <v>3289</v>
      </c>
      <c r="F802" s="3">
        <v>0</v>
      </c>
      <c r="G802" s="8" t="s">
        <v>2771</v>
      </c>
      <c r="H802" s="8" t="s">
        <v>5160</v>
      </c>
      <c r="I802" s="3">
        <v>30</v>
      </c>
      <c r="J802" s="3" t="s">
        <v>5297</v>
      </c>
      <c r="K802" s="17" t="str">
        <f>HYPERLINK("http://ictvonline.org/taxonomyHistory.asp?taxnode_id=20170950","ICTVonline=20170950")</f>
        <v>ICTVonline=20170950</v>
      </c>
      <c r="L802" s="3">
        <v>801</v>
      </c>
    </row>
    <row r="803" spans="1:12" x14ac:dyDescent="0.15">
      <c r="A803" s="1" t="s">
        <v>1341</v>
      </c>
      <c r="B803" s="1" t="s">
        <v>904</v>
      </c>
      <c r="D803" s="1" t="s">
        <v>3283</v>
      </c>
      <c r="E803" s="1" t="s">
        <v>3290</v>
      </c>
      <c r="F803" s="3">
        <v>0</v>
      </c>
      <c r="G803" s="8" t="s">
        <v>2771</v>
      </c>
      <c r="H803" s="8" t="s">
        <v>5160</v>
      </c>
      <c r="I803" s="3">
        <v>30</v>
      </c>
      <c r="J803" s="3" t="s">
        <v>5297</v>
      </c>
      <c r="K803" s="17" t="str">
        <f>HYPERLINK("http://ictvonline.org/taxonomyHistory.asp?taxnode_id=20170951","ICTVonline=20170951")</f>
        <v>ICTVonline=20170951</v>
      </c>
      <c r="L803" s="3">
        <v>802</v>
      </c>
    </row>
    <row r="804" spans="1:12" x14ac:dyDescent="0.15">
      <c r="A804" s="1" t="s">
        <v>1341</v>
      </c>
      <c r="B804" s="1" t="s">
        <v>904</v>
      </c>
      <c r="D804" s="1" t="s">
        <v>3283</v>
      </c>
      <c r="E804" s="1" t="s">
        <v>3291</v>
      </c>
      <c r="F804" s="3">
        <v>0</v>
      </c>
      <c r="G804" s="8" t="s">
        <v>2771</v>
      </c>
      <c r="H804" s="8" t="s">
        <v>5160</v>
      </c>
      <c r="I804" s="3">
        <v>30</v>
      </c>
      <c r="J804" s="3" t="s">
        <v>5297</v>
      </c>
      <c r="K804" s="17" t="str">
        <f>HYPERLINK("http://ictvonline.org/taxonomyHistory.asp?taxnode_id=20170952","ICTVonline=20170952")</f>
        <v>ICTVonline=20170952</v>
      </c>
      <c r="L804" s="3">
        <v>803</v>
      </c>
    </row>
    <row r="805" spans="1:12" x14ac:dyDescent="0.15">
      <c r="A805" s="1" t="s">
        <v>1341</v>
      </c>
      <c r="B805" s="1" t="s">
        <v>904</v>
      </c>
      <c r="D805" s="1" t="s">
        <v>3292</v>
      </c>
      <c r="E805" s="1" t="s">
        <v>3293</v>
      </c>
      <c r="F805" s="3">
        <v>1</v>
      </c>
      <c r="G805" s="8" t="s">
        <v>2771</v>
      </c>
      <c r="H805" s="8" t="s">
        <v>5160</v>
      </c>
      <c r="I805" s="3">
        <v>30</v>
      </c>
      <c r="J805" s="3" t="s">
        <v>5297</v>
      </c>
      <c r="K805" s="17" t="str">
        <f>HYPERLINK("http://ictvonline.org/taxonomyHistory.asp?taxnode_id=20170954","ICTVonline=20170954")</f>
        <v>ICTVonline=20170954</v>
      </c>
      <c r="L805" s="3">
        <v>804</v>
      </c>
    </row>
    <row r="806" spans="1:12" x14ac:dyDescent="0.15">
      <c r="A806" s="1" t="s">
        <v>1341</v>
      </c>
      <c r="B806" s="1" t="s">
        <v>904</v>
      </c>
      <c r="D806" s="1" t="s">
        <v>3292</v>
      </c>
      <c r="E806" s="1" t="s">
        <v>3294</v>
      </c>
      <c r="F806" s="3">
        <v>0</v>
      </c>
      <c r="G806" s="8" t="s">
        <v>2771</v>
      </c>
      <c r="H806" s="8" t="s">
        <v>5160</v>
      </c>
      <c r="I806" s="3">
        <v>30</v>
      </c>
      <c r="J806" s="3" t="s">
        <v>5297</v>
      </c>
      <c r="K806" s="17" t="str">
        <f>HYPERLINK("http://ictvonline.org/taxonomyHistory.asp?taxnode_id=20170955","ICTVonline=20170955")</f>
        <v>ICTVonline=20170955</v>
      </c>
      <c r="L806" s="3">
        <v>805</v>
      </c>
    </row>
    <row r="807" spans="1:12" x14ac:dyDescent="0.15">
      <c r="A807" s="1" t="s">
        <v>1341</v>
      </c>
      <c r="B807" s="1" t="s">
        <v>904</v>
      </c>
      <c r="D807" s="1" t="s">
        <v>4569</v>
      </c>
      <c r="E807" s="1" t="s">
        <v>4570</v>
      </c>
      <c r="F807" s="3">
        <v>1</v>
      </c>
      <c r="G807" s="8" t="s">
        <v>2771</v>
      </c>
      <c r="H807" s="8" t="s">
        <v>5159</v>
      </c>
      <c r="I807" s="3">
        <v>31</v>
      </c>
      <c r="J807" s="3" t="s">
        <v>5453</v>
      </c>
      <c r="K807" s="17" t="str">
        <f>HYPERLINK("http://ictvonline.org/taxonomyHistory.asp?taxnode_id=20170957","ICTVonline=20170957")</f>
        <v>ICTVonline=20170957</v>
      </c>
      <c r="L807" s="3">
        <v>806</v>
      </c>
    </row>
    <row r="808" spans="1:12" x14ac:dyDescent="0.15">
      <c r="A808" s="1" t="s">
        <v>1341</v>
      </c>
      <c r="B808" s="1" t="s">
        <v>904</v>
      </c>
      <c r="D808" s="1" t="s">
        <v>4571</v>
      </c>
      <c r="E808" s="1" t="s">
        <v>4572</v>
      </c>
      <c r="F808" s="3">
        <v>1</v>
      </c>
      <c r="G808" s="8" t="s">
        <v>2771</v>
      </c>
      <c r="H808" s="8" t="s">
        <v>5159</v>
      </c>
      <c r="I808" s="3">
        <v>31</v>
      </c>
      <c r="J808" s="3" t="s">
        <v>5454</v>
      </c>
      <c r="K808" s="17" t="str">
        <f>HYPERLINK("http://ictvonline.org/taxonomyHistory.asp?taxnode_id=20170959","ICTVonline=20170959")</f>
        <v>ICTVonline=20170959</v>
      </c>
      <c r="L808" s="3">
        <v>807</v>
      </c>
    </row>
    <row r="809" spans="1:12" x14ac:dyDescent="0.15">
      <c r="A809" s="1" t="s">
        <v>1341</v>
      </c>
      <c r="B809" s="1" t="s">
        <v>904</v>
      </c>
      <c r="D809" s="1" t="s">
        <v>4571</v>
      </c>
      <c r="E809" s="1" t="s">
        <v>4573</v>
      </c>
      <c r="F809" s="3">
        <v>0</v>
      </c>
      <c r="G809" s="8" t="s">
        <v>2771</v>
      </c>
      <c r="H809" s="8" t="s">
        <v>5159</v>
      </c>
      <c r="I809" s="3">
        <v>31</v>
      </c>
      <c r="J809" s="3" t="s">
        <v>5454</v>
      </c>
      <c r="K809" s="17" t="str">
        <f>HYPERLINK("http://ictvonline.org/taxonomyHistory.asp?taxnode_id=20170960","ICTVonline=20170960")</f>
        <v>ICTVonline=20170960</v>
      </c>
      <c r="L809" s="3">
        <v>808</v>
      </c>
    </row>
    <row r="810" spans="1:12" x14ac:dyDescent="0.15">
      <c r="A810" s="1" t="s">
        <v>1341</v>
      </c>
      <c r="B810" s="1" t="s">
        <v>904</v>
      </c>
      <c r="D810" s="1" t="s">
        <v>4571</v>
      </c>
      <c r="E810" s="1" t="s">
        <v>4574</v>
      </c>
      <c r="F810" s="3">
        <v>0</v>
      </c>
      <c r="G810" s="8" t="s">
        <v>2771</v>
      </c>
      <c r="H810" s="8" t="s">
        <v>5159</v>
      </c>
      <c r="I810" s="3">
        <v>31</v>
      </c>
      <c r="J810" s="3" t="s">
        <v>5454</v>
      </c>
      <c r="K810" s="17" t="str">
        <f>HYPERLINK("http://ictvonline.org/taxonomyHistory.asp?taxnode_id=20170961","ICTVonline=20170961")</f>
        <v>ICTVonline=20170961</v>
      </c>
      <c r="L810" s="3">
        <v>809</v>
      </c>
    </row>
    <row r="811" spans="1:12" x14ac:dyDescent="0.15">
      <c r="A811" s="1" t="s">
        <v>1341</v>
      </c>
      <c r="B811" s="1" t="s">
        <v>904</v>
      </c>
      <c r="D811" s="1" t="s">
        <v>5455</v>
      </c>
      <c r="E811" s="1" t="s">
        <v>5456</v>
      </c>
      <c r="F811" s="3">
        <v>0</v>
      </c>
      <c r="G811" s="8" t="s">
        <v>2771</v>
      </c>
      <c r="H811" s="8" t="s">
        <v>5159</v>
      </c>
      <c r="I811" s="3">
        <v>32</v>
      </c>
      <c r="J811" s="3" t="s">
        <v>5457</v>
      </c>
      <c r="K811" s="17" t="str">
        <f>HYPERLINK("http://ictvonline.org/taxonomyHistory.asp?taxnode_id=20175543","ICTVonline=20175543")</f>
        <v>ICTVonline=20175543</v>
      </c>
      <c r="L811" s="3">
        <v>810</v>
      </c>
    </row>
    <row r="812" spans="1:12" x14ac:dyDescent="0.15">
      <c r="A812" s="1" t="s">
        <v>1341</v>
      </c>
      <c r="B812" s="1" t="s">
        <v>904</v>
      </c>
      <c r="D812" s="1" t="s">
        <v>5455</v>
      </c>
      <c r="E812" s="1" t="s">
        <v>5458</v>
      </c>
      <c r="F812" s="3">
        <v>1</v>
      </c>
      <c r="G812" s="8" t="s">
        <v>2771</v>
      </c>
      <c r="H812" s="8" t="s">
        <v>5159</v>
      </c>
      <c r="I812" s="3">
        <v>32</v>
      </c>
      <c r="J812" s="3" t="s">
        <v>5457</v>
      </c>
      <c r="K812" s="17" t="str">
        <f>HYPERLINK("http://ictvonline.org/taxonomyHistory.asp?taxnode_id=20175544","ICTVonline=20175544")</f>
        <v>ICTVonline=20175544</v>
      </c>
      <c r="L812" s="3">
        <v>811</v>
      </c>
    </row>
    <row r="813" spans="1:12" x14ac:dyDescent="0.15">
      <c r="A813" s="1" t="s">
        <v>1341</v>
      </c>
      <c r="B813" s="1" t="s">
        <v>904</v>
      </c>
      <c r="D813" s="1" t="s">
        <v>5455</v>
      </c>
      <c r="E813" s="1" t="s">
        <v>5459</v>
      </c>
      <c r="F813" s="3">
        <v>0</v>
      </c>
      <c r="G813" s="8" t="s">
        <v>2771</v>
      </c>
      <c r="H813" s="8" t="s">
        <v>5159</v>
      </c>
      <c r="I813" s="3">
        <v>32</v>
      </c>
      <c r="J813" s="3" t="s">
        <v>5457</v>
      </c>
      <c r="K813" s="17" t="str">
        <f>HYPERLINK("http://ictvonline.org/taxonomyHistory.asp?taxnode_id=20175545","ICTVonline=20175545")</f>
        <v>ICTVonline=20175545</v>
      </c>
      <c r="L813" s="3">
        <v>812</v>
      </c>
    </row>
    <row r="814" spans="1:12" x14ac:dyDescent="0.15">
      <c r="A814" s="1" t="s">
        <v>1341</v>
      </c>
      <c r="B814" s="1" t="s">
        <v>904</v>
      </c>
      <c r="D814" s="1" t="s">
        <v>5455</v>
      </c>
      <c r="E814" s="1" t="s">
        <v>5460</v>
      </c>
      <c r="F814" s="3">
        <v>0</v>
      </c>
      <c r="G814" s="8" t="s">
        <v>2771</v>
      </c>
      <c r="H814" s="8" t="s">
        <v>5159</v>
      </c>
      <c r="I814" s="3">
        <v>32</v>
      </c>
      <c r="J814" s="3" t="s">
        <v>5457</v>
      </c>
      <c r="K814" s="17" t="str">
        <f>HYPERLINK("http://ictvonline.org/taxonomyHistory.asp?taxnode_id=20175546","ICTVonline=20175546")</f>
        <v>ICTVonline=20175546</v>
      </c>
      <c r="L814" s="3">
        <v>813</v>
      </c>
    </row>
    <row r="815" spans="1:12" x14ac:dyDescent="0.15">
      <c r="A815" s="1" t="s">
        <v>1341</v>
      </c>
      <c r="B815" s="1" t="s">
        <v>904</v>
      </c>
      <c r="D815" s="1" t="s">
        <v>3295</v>
      </c>
      <c r="E815" s="1" t="s">
        <v>3296</v>
      </c>
      <c r="F815" s="3">
        <v>0</v>
      </c>
      <c r="G815" s="8" t="s">
        <v>2771</v>
      </c>
      <c r="H815" s="8" t="s">
        <v>5160</v>
      </c>
      <c r="I815" s="3">
        <v>30</v>
      </c>
      <c r="J815" s="3" t="s">
        <v>5297</v>
      </c>
      <c r="K815" s="17" t="str">
        <f>HYPERLINK("http://ictvonline.org/taxonomyHistory.asp?taxnode_id=20170963","ICTVonline=20170963")</f>
        <v>ICTVonline=20170963</v>
      </c>
      <c r="L815" s="3">
        <v>814</v>
      </c>
    </row>
    <row r="816" spans="1:12" x14ac:dyDescent="0.15">
      <c r="A816" s="1" t="s">
        <v>1341</v>
      </c>
      <c r="B816" s="1" t="s">
        <v>904</v>
      </c>
      <c r="D816" s="1" t="s">
        <v>3295</v>
      </c>
      <c r="E816" s="1" t="s">
        <v>3297</v>
      </c>
      <c r="F816" s="3">
        <v>0</v>
      </c>
      <c r="G816" s="8" t="s">
        <v>2771</v>
      </c>
      <c r="H816" s="8" t="s">
        <v>5160</v>
      </c>
      <c r="I816" s="3">
        <v>30</v>
      </c>
      <c r="J816" s="3" t="s">
        <v>5297</v>
      </c>
      <c r="K816" s="17" t="str">
        <f>HYPERLINK("http://ictvonline.org/taxonomyHistory.asp?taxnode_id=20170964","ICTVonline=20170964")</f>
        <v>ICTVonline=20170964</v>
      </c>
      <c r="L816" s="3">
        <v>815</v>
      </c>
    </row>
    <row r="817" spans="1:12" x14ac:dyDescent="0.15">
      <c r="A817" s="1" t="s">
        <v>1341</v>
      </c>
      <c r="B817" s="1" t="s">
        <v>904</v>
      </c>
      <c r="D817" s="1" t="s">
        <v>3295</v>
      </c>
      <c r="E817" s="1" t="s">
        <v>3298</v>
      </c>
      <c r="F817" s="3">
        <v>1</v>
      </c>
      <c r="G817" s="8" t="s">
        <v>2771</v>
      </c>
      <c r="H817" s="8" t="s">
        <v>5160</v>
      </c>
      <c r="I817" s="3">
        <v>30</v>
      </c>
      <c r="J817" s="3" t="s">
        <v>5297</v>
      </c>
      <c r="K817" s="17" t="str">
        <f>HYPERLINK("http://ictvonline.org/taxonomyHistory.asp?taxnode_id=20170965","ICTVonline=20170965")</f>
        <v>ICTVonline=20170965</v>
      </c>
      <c r="L817" s="3">
        <v>816</v>
      </c>
    </row>
    <row r="818" spans="1:12" x14ac:dyDescent="0.15">
      <c r="A818" s="1" t="s">
        <v>1341</v>
      </c>
      <c r="B818" s="1" t="s">
        <v>904</v>
      </c>
      <c r="D818" s="1" t="s">
        <v>4575</v>
      </c>
      <c r="E818" s="1" t="s">
        <v>4576</v>
      </c>
      <c r="F818" s="3">
        <v>1</v>
      </c>
      <c r="G818" s="8" t="s">
        <v>2771</v>
      </c>
      <c r="H818" s="8" t="s">
        <v>5159</v>
      </c>
      <c r="I818" s="3">
        <v>31</v>
      </c>
      <c r="J818" s="3" t="s">
        <v>5461</v>
      </c>
      <c r="K818" s="17" t="str">
        <f>HYPERLINK("http://ictvonline.org/taxonomyHistory.asp?taxnode_id=20170967","ICTVonline=20170967")</f>
        <v>ICTVonline=20170967</v>
      </c>
      <c r="L818" s="3">
        <v>817</v>
      </c>
    </row>
    <row r="819" spans="1:12" x14ac:dyDescent="0.15">
      <c r="A819" s="1" t="s">
        <v>1341</v>
      </c>
      <c r="B819" s="1" t="s">
        <v>904</v>
      </c>
      <c r="D819" s="1" t="s">
        <v>3084</v>
      </c>
      <c r="E819" s="1" t="s">
        <v>3085</v>
      </c>
      <c r="F819" s="3">
        <v>1</v>
      </c>
      <c r="G819" s="8" t="s">
        <v>2771</v>
      </c>
      <c r="H819" s="8" t="s">
        <v>5159</v>
      </c>
      <c r="I819" s="3">
        <v>30</v>
      </c>
      <c r="J819" s="3" t="s">
        <v>5462</v>
      </c>
      <c r="K819" s="17" t="str">
        <f>HYPERLINK("http://ictvonline.org/taxonomyHistory.asp?taxnode_id=20170969","ICTVonline=20170969")</f>
        <v>ICTVonline=20170969</v>
      </c>
      <c r="L819" s="3">
        <v>818</v>
      </c>
    </row>
    <row r="820" spans="1:12" x14ac:dyDescent="0.15">
      <c r="A820" s="1" t="s">
        <v>1341</v>
      </c>
      <c r="B820" s="1" t="s">
        <v>904</v>
      </c>
      <c r="D820" s="1" t="s">
        <v>3084</v>
      </c>
      <c r="E820" s="1" t="s">
        <v>3086</v>
      </c>
      <c r="F820" s="3">
        <v>0</v>
      </c>
      <c r="G820" s="8" t="s">
        <v>2771</v>
      </c>
      <c r="H820" s="8" t="s">
        <v>5159</v>
      </c>
      <c r="I820" s="3">
        <v>30</v>
      </c>
      <c r="J820" s="3" t="s">
        <v>5462</v>
      </c>
      <c r="K820" s="17" t="str">
        <f>HYPERLINK("http://ictvonline.org/taxonomyHistory.asp?taxnode_id=20170970","ICTVonline=20170970")</f>
        <v>ICTVonline=20170970</v>
      </c>
      <c r="L820" s="3">
        <v>819</v>
      </c>
    </row>
    <row r="821" spans="1:12" x14ac:dyDescent="0.15">
      <c r="A821" s="1" t="s">
        <v>1341</v>
      </c>
      <c r="B821" s="1" t="s">
        <v>904</v>
      </c>
      <c r="D821" s="1" t="s">
        <v>4577</v>
      </c>
      <c r="E821" s="1" t="s">
        <v>4578</v>
      </c>
      <c r="F821" s="3">
        <v>1</v>
      </c>
      <c r="G821" s="8" t="s">
        <v>2771</v>
      </c>
      <c r="H821" s="8" t="s">
        <v>5159</v>
      </c>
      <c r="I821" s="3">
        <v>31</v>
      </c>
      <c r="J821" s="3" t="s">
        <v>5463</v>
      </c>
      <c r="K821" s="17" t="str">
        <f>HYPERLINK("http://ictvonline.org/taxonomyHistory.asp?taxnode_id=20170972","ICTVonline=20170972")</f>
        <v>ICTVonline=20170972</v>
      </c>
      <c r="L821" s="3">
        <v>820</v>
      </c>
    </row>
    <row r="822" spans="1:12" x14ac:dyDescent="0.15">
      <c r="A822" s="1" t="s">
        <v>1341</v>
      </c>
      <c r="B822" s="1" t="s">
        <v>904</v>
      </c>
      <c r="D822" s="1" t="s">
        <v>4579</v>
      </c>
      <c r="E822" s="1" t="s">
        <v>4580</v>
      </c>
      <c r="F822" s="3">
        <v>1</v>
      </c>
      <c r="G822" s="8" t="s">
        <v>2771</v>
      </c>
      <c r="H822" s="8" t="s">
        <v>5159</v>
      </c>
      <c r="I822" s="3">
        <v>31</v>
      </c>
      <c r="J822" s="3" t="s">
        <v>5464</v>
      </c>
      <c r="K822" s="17" t="str">
        <f>HYPERLINK("http://ictvonline.org/taxonomyHistory.asp?taxnode_id=20170974","ICTVonline=20170974")</f>
        <v>ICTVonline=20170974</v>
      </c>
      <c r="L822" s="3">
        <v>821</v>
      </c>
    </row>
    <row r="823" spans="1:12" x14ac:dyDescent="0.15">
      <c r="A823" s="1" t="s">
        <v>1341</v>
      </c>
      <c r="B823" s="1" t="s">
        <v>904</v>
      </c>
      <c r="D823" s="1" t="s">
        <v>4581</v>
      </c>
      <c r="E823" s="1" t="s">
        <v>4582</v>
      </c>
      <c r="F823" s="3">
        <v>0</v>
      </c>
      <c r="G823" s="8" t="s">
        <v>2771</v>
      </c>
      <c r="H823" s="8" t="s">
        <v>5159</v>
      </c>
      <c r="I823" s="3">
        <v>31</v>
      </c>
      <c r="J823" s="3" t="s">
        <v>5465</v>
      </c>
      <c r="K823" s="17" t="str">
        <f>HYPERLINK("http://ictvonline.org/taxonomyHistory.asp?taxnode_id=20170976","ICTVonline=20170976")</f>
        <v>ICTVonline=20170976</v>
      </c>
      <c r="L823" s="3">
        <v>822</v>
      </c>
    </row>
    <row r="824" spans="1:12" x14ac:dyDescent="0.15">
      <c r="A824" s="1" t="s">
        <v>1341</v>
      </c>
      <c r="B824" s="1" t="s">
        <v>904</v>
      </c>
      <c r="D824" s="1" t="s">
        <v>4581</v>
      </c>
      <c r="E824" s="1" t="s">
        <v>4583</v>
      </c>
      <c r="F824" s="3">
        <v>1</v>
      </c>
      <c r="G824" s="8" t="s">
        <v>2771</v>
      </c>
      <c r="H824" s="8" t="s">
        <v>5159</v>
      </c>
      <c r="I824" s="3">
        <v>31</v>
      </c>
      <c r="J824" s="3" t="s">
        <v>5465</v>
      </c>
      <c r="K824" s="17" t="str">
        <f>HYPERLINK("http://ictvonline.org/taxonomyHistory.asp?taxnode_id=20170977","ICTVonline=20170977")</f>
        <v>ICTVonline=20170977</v>
      </c>
      <c r="L824" s="3">
        <v>823</v>
      </c>
    </row>
    <row r="825" spans="1:12" x14ac:dyDescent="0.15">
      <c r="A825" s="1" t="s">
        <v>1341</v>
      </c>
      <c r="B825" s="1" t="s">
        <v>904</v>
      </c>
      <c r="D825" s="1" t="s">
        <v>4584</v>
      </c>
      <c r="E825" s="1" t="s">
        <v>4585</v>
      </c>
      <c r="F825" s="3">
        <v>1</v>
      </c>
      <c r="G825" s="8" t="s">
        <v>2771</v>
      </c>
      <c r="H825" s="8" t="s">
        <v>5159</v>
      </c>
      <c r="I825" s="3">
        <v>31</v>
      </c>
      <c r="J825" s="3" t="s">
        <v>5466</v>
      </c>
      <c r="K825" s="17" t="str">
        <f>HYPERLINK("http://ictvonline.org/taxonomyHistory.asp?taxnode_id=20170979","ICTVonline=20170979")</f>
        <v>ICTVonline=20170979</v>
      </c>
      <c r="L825" s="3">
        <v>824</v>
      </c>
    </row>
    <row r="826" spans="1:12" x14ac:dyDescent="0.15">
      <c r="A826" s="1" t="s">
        <v>1341</v>
      </c>
      <c r="B826" s="1" t="s">
        <v>904</v>
      </c>
      <c r="D826" s="1" t="s">
        <v>4586</v>
      </c>
      <c r="E826" s="1" t="s">
        <v>4587</v>
      </c>
      <c r="F826" s="3">
        <v>1</v>
      </c>
      <c r="G826" s="8" t="s">
        <v>2771</v>
      </c>
      <c r="H826" s="8" t="s">
        <v>5159</v>
      </c>
      <c r="I826" s="3">
        <v>31</v>
      </c>
      <c r="J826" s="3" t="s">
        <v>5467</v>
      </c>
      <c r="K826" s="17" t="str">
        <f>HYPERLINK("http://ictvonline.org/taxonomyHistory.asp?taxnode_id=20170981","ICTVonline=20170981")</f>
        <v>ICTVonline=20170981</v>
      </c>
      <c r="L826" s="3">
        <v>825</v>
      </c>
    </row>
    <row r="827" spans="1:12" x14ac:dyDescent="0.15">
      <c r="A827" s="1" t="s">
        <v>1341</v>
      </c>
      <c r="B827" s="1" t="s">
        <v>904</v>
      </c>
      <c r="D827" s="1" t="s">
        <v>3299</v>
      </c>
      <c r="E827" s="1" t="s">
        <v>4588</v>
      </c>
      <c r="F827" s="3">
        <v>0</v>
      </c>
      <c r="G827" s="8" t="s">
        <v>2771</v>
      </c>
      <c r="H827" s="8" t="s">
        <v>5159</v>
      </c>
      <c r="I827" s="3">
        <v>31</v>
      </c>
      <c r="J827" s="3" t="s">
        <v>5298</v>
      </c>
      <c r="K827" s="17" t="str">
        <f>HYPERLINK("http://ictvonline.org/taxonomyHistory.asp?taxnode_id=20170983","ICTVonline=20170983")</f>
        <v>ICTVonline=20170983</v>
      </c>
      <c r="L827" s="3">
        <v>826</v>
      </c>
    </row>
    <row r="828" spans="1:12" x14ac:dyDescent="0.15">
      <c r="A828" s="1" t="s">
        <v>1341</v>
      </c>
      <c r="B828" s="1" t="s">
        <v>904</v>
      </c>
      <c r="D828" s="1" t="s">
        <v>3299</v>
      </c>
      <c r="E828" s="1" t="s">
        <v>3300</v>
      </c>
      <c r="F828" s="3">
        <v>1</v>
      </c>
      <c r="G828" s="8" t="s">
        <v>2771</v>
      </c>
      <c r="H828" s="8" t="s">
        <v>5160</v>
      </c>
      <c r="I828" s="3">
        <v>30</v>
      </c>
      <c r="J828" s="3" t="s">
        <v>5297</v>
      </c>
      <c r="K828" s="17" t="str">
        <f>HYPERLINK("http://ictvonline.org/taxonomyHistory.asp?taxnode_id=20170984","ICTVonline=20170984")</f>
        <v>ICTVonline=20170984</v>
      </c>
      <c r="L828" s="3">
        <v>827</v>
      </c>
    </row>
    <row r="829" spans="1:12" x14ac:dyDescent="0.15">
      <c r="A829" s="1" t="s">
        <v>1341</v>
      </c>
      <c r="B829" s="1" t="s">
        <v>904</v>
      </c>
      <c r="D829" s="1" t="s">
        <v>3299</v>
      </c>
      <c r="E829" s="1" t="s">
        <v>3301</v>
      </c>
      <c r="F829" s="3">
        <v>0</v>
      </c>
      <c r="G829" s="8" t="s">
        <v>2771</v>
      </c>
      <c r="H829" s="8" t="s">
        <v>5160</v>
      </c>
      <c r="I829" s="3">
        <v>30</v>
      </c>
      <c r="J829" s="3" t="s">
        <v>5297</v>
      </c>
      <c r="K829" s="17" t="str">
        <f>HYPERLINK("http://ictvonline.org/taxonomyHistory.asp?taxnode_id=20170985","ICTVonline=20170985")</f>
        <v>ICTVonline=20170985</v>
      </c>
      <c r="L829" s="3">
        <v>828</v>
      </c>
    </row>
    <row r="830" spans="1:12" x14ac:dyDescent="0.15">
      <c r="A830" s="1" t="s">
        <v>1341</v>
      </c>
      <c r="B830" s="1" t="s">
        <v>904</v>
      </c>
      <c r="D830" s="1" t="s">
        <v>3299</v>
      </c>
      <c r="E830" s="1" t="s">
        <v>3302</v>
      </c>
      <c r="F830" s="3">
        <v>0</v>
      </c>
      <c r="G830" s="8" t="s">
        <v>2771</v>
      </c>
      <c r="H830" s="8" t="s">
        <v>5160</v>
      </c>
      <c r="I830" s="3">
        <v>30</v>
      </c>
      <c r="J830" s="3" t="s">
        <v>5297</v>
      </c>
      <c r="K830" s="17" t="str">
        <f>HYPERLINK("http://ictvonline.org/taxonomyHistory.asp?taxnode_id=20170986","ICTVonline=20170986")</f>
        <v>ICTVonline=20170986</v>
      </c>
      <c r="L830" s="3">
        <v>829</v>
      </c>
    </row>
    <row r="831" spans="1:12" x14ac:dyDescent="0.15">
      <c r="A831" s="1" t="s">
        <v>1341</v>
      </c>
      <c r="B831" s="1" t="s">
        <v>904</v>
      </c>
      <c r="D831" s="1" t="s">
        <v>3299</v>
      </c>
      <c r="E831" s="1" t="s">
        <v>4589</v>
      </c>
      <c r="F831" s="3">
        <v>0</v>
      </c>
      <c r="G831" s="8" t="s">
        <v>2771</v>
      </c>
      <c r="H831" s="8" t="s">
        <v>5159</v>
      </c>
      <c r="I831" s="3">
        <v>31</v>
      </c>
      <c r="J831" s="3" t="s">
        <v>5298</v>
      </c>
      <c r="K831" s="17" t="str">
        <f>HYPERLINK("http://ictvonline.org/taxonomyHistory.asp?taxnode_id=20170987","ICTVonline=20170987")</f>
        <v>ICTVonline=20170987</v>
      </c>
      <c r="L831" s="3">
        <v>830</v>
      </c>
    </row>
    <row r="832" spans="1:12" x14ac:dyDescent="0.15">
      <c r="A832" s="1" t="s">
        <v>1341</v>
      </c>
      <c r="B832" s="1" t="s">
        <v>904</v>
      </c>
      <c r="D832" s="1" t="s">
        <v>3299</v>
      </c>
      <c r="E832" s="1" t="s">
        <v>3303</v>
      </c>
      <c r="F832" s="3">
        <v>0</v>
      </c>
      <c r="G832" s="8" t="s">
        <v>2771</v>
      </c>
      <c r="H832" s="8" t="s">
        <v>5160</v>
      </c>
      <c r="I832" s="3">
        <v>30</v>
      </c>
      <c r="J832" s="3" t="s">
        <v>5297</v>
      </c>
      <c r="K832" s="17" t="str">
        <f>HYPERLINK("http://ictvonline.org/taxonomyHistory.asp?taxnode_id=20170988","ICTVonline=20170988")</f>
        <v>ICTVonline=20170988</v>
      </c>
      <c r="L832" s="3">
        <v>831</v>
      </c>
    </row>
    <row r="833" spans="1:12" x14ac:dyDescent="0.15">
      <c r="A833" s="1" t="s">
        <v>1341</v>
      </c>
      <c r="B833" s="1" t="s">
        <v>904</v>
      </c>
      <c r="D833" s="1" t="s">
        <v>3299</v>
      </c>
      <c r="E833" s="1" t="s">
        <v>3304</v>
      </c>
      <c r="F833" s="3">
        <v>0</v>
      </c>
      <c r="G833" s="8" t="s">
        <v>2771</v>
      </c>
      <c r="H833" s="8" t="s">
        <v>5160</v>
      </c>
      <c r="I833" s="3">
        <v>30</v>
      </c>
      <c r="J833" s="3" t="s">
        <v>5297</v>
      </c>
      <c r="K833" s="17" t="str">
        <f>HYPERLINK("http://ictvonline.org/taxonomyHistory.asp?taxnode_id=20170989","ICTVonline=20170989")</f>
        <v>ICTVonline=20170989</v>
      </c>
      <c r="L833" s="3">
        <v>832</v>
      </c>
    </row>
    <row r="834" spans="1:12" x14ac:dyDescent="0.15">
      <c r="A834" s="1" t="s">
        <v>1341</v>
      </c>
      <c r="B834" s="1" t="s">
        <v>904</v>
      </c>
      <c r="D834" s="1" t="s">
        <v>5468</v>
      </c>
      <c r="E834" s="1" t="s">
        <v>3369</v>
      </c>
      <c r="F834" s="3">
        <v>0</v>
      </c>
      <c r="G834" s="8" t="s">
        <v>2771</v>
      </c>
      <c r="H834" s="8" t="s">
        <v>5161</v>
      </c>
      <c r="I834" s="3">
        <v>32</v>
      </c>
      <c r="J834" s="3" t="s">
        <v>5469</v>
      </c>
      <c r="K834" s="17" t="str">
        <f>HYPERLINK("http://ictvonline.org/taxonomyHistory.asp?taxnode_id=20171070","ICTVonline=20171070")</f>
        <v>ICTVonline=20171070</v>
      </c>
      <c r="L834" s="3">
        <v>833</v>
      </c>
    </row>
    <row r="835" spans="1:12" x14ac:dyDescent="0.15">
      <c r="A835" s="1" t="s">
        <v>1341</v>
      </c>
      <c r="B835" s="1" t="s">
        <v>904</v>
      </c>
      <c r="D835" s="1" t="s">
        <v>5468</v>
      </c>
      <c r="E835" s="1" t="s">
        <v>5470</v>
      </c>
      <c r="F835" s="3">
        <v>0</v>
      </c>
      <c r="G835" s="8" t="s">
        <v>2771</v>
      </c>
      <c r="H835" s="8" t="s">
        <v>5159</v>
      </c>
      <c r="I835" s="3">
        <v>32</v>
      </c>
      <c r="J835" s="3" t="s">
        <v>5469</v>
      </c>
      <c r="K835" s="17" t="str">
        <f>HYPERLINK("http://ictvonline.org/taxonomyHistory.asp?taxnode_id=20175553","ICTVonline=20175553")</f>
        <v>ICTVonline=20175553</v>
      </c>
      <c r="L835" s="3">
        <v>834</v>
      </c>
    </row>
    <row r="836" spans="1:12" x14ac:dyDescent="0.15">
      <c r="A836" s="1" t="s">
        <v>1341</v>
      </c>
      <c r="B836" s="1" t="s">
        <v>904</v>
      </c>
      <c r="D836" s="1" t="s">
        <v>5468</v>
      </c>
      <c r="E836" s="1" t="s">
        <v>3370</v>
      </c>
      <c r="F836" s="3">
        <v>1</v>
      </c>
      <c r="G836" s="8" t="s">
        <v>2771</v>
      </c>
      <c r="H836" s="8" t="s">
        <v>5161</v>
      </c>
      <c r="I836" s="3">
        <v>32</v>
      </c>
      <c r="J836" s="3" t="s">
        <v>5469</v>
      </c>
      <c r="K836" s="17" t="str">
        <f>HYPERLINK("http://ictvonline.org/taxonomyHistory.asp?taxnode_id=20171071","ICTVonline=20171071")</f>
        <v>ICTVonline=20171071</v>
      </c>
      <c r="L836" s="3">
        <v>835</v>
      </c>
    </row>
    <row r="837" spans="1:12" x14ac:dyDescent="0.15">
      <c r="A837" s="1" t="s">
        <v>1341</v>
      </c>
      <c r="B837" s="1" t="s">
        <v>904</v>
      </c>
      <c r="D837" s="1" t="s">
        <v>5468</v>
      </c>
      <c r="E837" s="1" t="s">
        <v>5471</v>
      </c>
      <c r="F837" s="3">
        <v>0</v>
      </c>
      <c r="G837" s="8" t="s">
        <v>2771</v>
      </c>
      <c r="H837" s="8" t="s">
        <v>5159</v>
      </c>
      <c r="I837" s="3">
        <v>32</v>
      </c>
      <c r="J837" s="3" t="s">
        <v>5469</v>
      </c>
      <c r="K837" s="17" t="str">
        <f>HYPERLINK("http://ictvonline.org/taxonomyHistory.asp?taxnode_id=20175548","ICTVonline=20175548")</f>
        <v>ICTVonline=20175548</v>
      </c>
      <c r="L837" s="3">
        <v>836</v>
      </c>
    </row>
    <row r="838" spans="1:12" x14ac:dyDescent="0.15">
      <c r="A838" s="1" t="s">
        <v>1341</v>
      </c>
      <c r="B838" s="1" t="s">
        <v>904</v>
      </c>
      <c r="D838" s="1" t="s">
        <v>5468</v>
      </c>
      <c r="E838" s="1" t="s">
        <v>5472</v>
      </c>
      <c r="F838" s="3">
        <v>0</v>
      </c>
      <c r="G838" s="8" t="s">
        <v>2771</v>
      </c>
      <c r="H838" s="8" t="s">
        <v>5159</v>
      </c>
      <c r="I838" s="3">
        <v>32</v>
      </c>
      <c r="J838" s="3" t="s">
        <v>5469</v>
      </c>
      <c r="K838" s="17" t="str">
        <f>HYPERLINK("http://ictvonline.org/taxonomyHistory.asp?taxnode_id=20175549","ICTVonline=20175549")</f>
        <v>ICTVonline=20175549</v>
      </c>
      <c r="L838" s="3">
        <v>837</v>
      </c>
    </row>
    <row r="839" spans="1:12" x14ac:dyDescent="0.15">
      <c r="A839" s="1" t="s">
        <v>1341</v>
      </c>
      <c r="B839" s="1" t="s">
        <v>904</v>
      </c>
      <c r="D839" s="1" t="s">
        <v>5468</v>
      </c>
      <c r="E839" s="1" t="s">
        <v>5473</v>
      </c>
      <c r="F839" s="3">
        <v>0</v>
      </c>
      <c r="G839" s="8" t="s">
        <v>2771</v>
      </c>
      <c r="H839" s="8" t="s">
        <v>5159</v>
      </c>
      <c r="I839" s="3">
        <v>32</v>
      </c>
      <c r="J839" s="3" t="s">
        <v>5469</v>
      </c>
      <c r="K839" s="17" t="str">
        <f>HYPERLINK("http://ictvonline.org/taxonomyHistory.asp?taxnode_id=20175550","ICTVonline=20175550")</f>
        <v>ICTVonline=20175550</v>
      </c>
      <c r="L839" s="3">
        <v>838</v>
      </c>
    </row>
    <row r="840" spans="1:12" x14ac:dyDescent="0.15">
      <c r="A840" s="1" t="s">
        <v>1341</v>
      </c>
      <c r="B840" s="1" t="s">
        <v>904</v>
      </c>
      <c r="D840" s="1" t="s">
        <v>5468</v>
      </c>
      <c r="E840" s="1" t="s">
        <v>5474</v>
      </c>
      <c r="F840" s="3">
        <v>0</v>
      </c>
      <c r="G840" s="8" t="s">
        <v>2771</v>
      </c>
      <c r="H840" s="8" t="s">
        <v>5159</v>
      </c>
      <c r="I840" s="3">
        <v>32</v>
      </c>
      <c r="J840" s="3" t="s">
        <v>5469</v>
      </c>
      <c r="K840" s="17" t="str">
        <f>HYPERLINK("http://ictvonline.org/taxonomyHistory.asp?taxnode_id=20175551","ICTVonline=20175551")</f>
        <v>ICTVonline=20175551</v>
      </c>
      <c r="L840" s="3">
        <v>839</v>
      </c>
    </row>
    <row r="841" spans="1:12" x14ac:dyDescent="0.15">
      <c r="A841" s="1" t="s">
        <v>1341</v>
      </c>
      <c r="B841" s="1" t="s">
        <v>904</v>
      </c>
      <c r="D841" s="1" t="s">
        <v>5468</v>
      </c>
      <c r="E841" s="1" t="s">
        <v>5475</v>
      </c>
      <c r="F841" s="3">
        <v>0</v>
      </c>
      <c r="G841" s="8" t="s">
        <v>2771</v>
      </c>
      <c r="H841" s="8" t="s">
        <v>5159</v>
      </c>
      <c r="I841" s="3">
        <v>32</v>
      </c>
      <c r="J841" s="3" t="s">
        <v>5469</v>
      </c>
      <c r="K841" s="17" t="str">
        <f>HYPERLINK("http://ictvonline.org/taxonomyHistory.asp?taxnode_id=20175552","ICTVonline=20175552")</f>
        <v>ICTVonline=20175552</v>
      </c>
      <c r="L841" s="3">
        <v>840</v>
      </c>
    </row>
    <row r="842" spans="1:12" x14ac:dyDescent="0.15">
      <c r="A842" s="1" t="s">
        <v>1341</v>
      </c>
      <c r="B842" s="1" t="s">
        <v>904</v>
      </c>
      <c r="D842" s="1" t="s">
        <v>5468</v>
      </c>
      <c r="E842" s="1" t="s">
        <v>5476</v>
      </c>
      <c r="F842" s="3">
        <v>0</v>
      </c>
      <c r="G842" s="8" t="s">
        <v>2771</v>
      </c>
      <c r="H842" s="8" t="s">
        <v>5159</v>
      </c>
      <c r="I842" s="3">
        <v>32</v>
      </c>
      <c r="J842" s="3" t="s">
        <v>5469</v>
      </c>
      <c r="K842" s="17" t="str">
        <f>HYPERLINK("http://ictvonline.org/taxonomyHistory.asp?taxnode_id=20175554","ICTVonline=20175554")</f>
        <v>ICTVonline=20175554</v>
      </c>
      <c r="L842" s="3">
        <v>841</v>
      </c>
    </row>
    <row r="843" spans="1:12" x14ac:dyDescent="0.15">
      <c r="A843" s="1" t="s">
        <v>1341</v>
      </c>
      <c r="B843" s="1" t="s">
        <v>904</v>
      </c>
      <c r="D843" s="1" t="s">
        <v>5468</v>
      </c>
      <c r="E843" s="1" t="s">
        <v>5477</v>
      </c>
      <c r="F843" s="3">
        <v>0</v>
      </c>
      <c r="G843" s="8" t="s">
        <v>2771</v>
      </c>
      <c r="H843" s="8" t="s">
        <v>5159</v>
      </c>
      <c r="I843" s="3">
        <v>32</v>
      </c>
      <c r="J843" s="3" t="s">
        <v>5469</v>
      </c>
      <c r="K843" s="17" t="str">
        <f>HYPERLINK("http://ictvonline.org/taxonomyHistory.asp?taxnode_id=20175555","ICTVonline=20175555")</f>
        <v>ICTVonline=20175555</v>
      </c>
      <c r="L843" s="3">
        <v>842</v>
      </c>
    </row>
    <row r="844" spans="1:12" x14ac:dyDescent="0.15">
      <c r="A844" s="1" t="s">
        <v>1341</v>
      </c>
      <c r="B844" s="1" t="s">
        <v>904</v>
      </c>
      <c r="D844" s="1" t="s">
        <v>5468</v>
      </c>
      <c r="E844" s="1" t="s">
        <v>5478</v>
      </c>
      <c r="F844" s="3">
        <v>0</v>
      </c>
      <c r="G844" s="8" t="s">
        <v>2771</v>
      </c>
      <c r="H844" s="8" t="s">
        <v>5159</v>
      </c>
      <c r="I844" s="3">
        <v>32</v>
      </c>
      <c r="J844" s="3" t="s">
        <v>5469</v>
      </c>
      <c r="K844" s="17" t="str">
        <f>HYPERLINK("http://ictvonline.org/taxonomyHistory.asp?taxnode_id=20175556","ICTVonline=20175556")</f>
        <v>ICTVonline=20175556</v>
      </c>
      <c r="L844" s="3">
        <v>843</v>
      </c>
    </row>
    <row r="845" spans="1:12" x14ac:dyDescent="0.15">
      <c r="A845" s="1" t="s">
        <v>1341</v>
      </c>
      <c r="B845" s="1" t="s">
        <v>904</v>
      </c>
      <c r="D845" s="1" t="s">
        <v>4590</v>
      </c>
      <c r="E845" s="1" t="s">
        <v>4591</v>
      </c>
      <c r="F845" s="3">
        <v>1</v>
      </c>
      <c r="G845" s="8" t="s">
        <v>2771</v>
      </c>
      <c r="H845" s="8" t="s">
        <v>5159</v>
      </c>
      <c r="I845" s="3">
        <v>31</v>
      </c>
      <c r="J845" s="3" t="s">
        <v>5479</v>
      </c>
      <c r="K845" s="17" t="str">
        <f>HYPERLINK("http://ictvonline.org/taxonomyHistory.asp?taxnode_id=20170991","ICTVonline=20170991")</f>
        <v>ICTVonline=20170991</v>
      </c>
      <c r="L845" s="3">
        <v>844</v>
      </c>
    </row>
    <row r="846" spans="1:12" x14ac:dyDescent="0.15">
      <c r="A846" s="1" t="s">
        <v>1341</v>
      </c>
      <c r="B846" s="1" t="s">
        <v>904</v>
      </c>
      <c r="D846" s="1" t="s">
        <v>4592</v>
      </c>
      <c r="E846" s="1" t="s">
        <v>4593</v>
      </c>
      <c r="F846" s="3">
        <v>0</v>
      </c>
      <c r="G846" s="8" t="s">
        <v>2771</v>
      </c>
      <c r="H846" s="8" t="s">
        <v>5159</v>
      </c>
      <c r="I846" s="3">
        <v>31</v>
      </c>
      <c r="J846" s="3" t="s">
        <v>5480</v>
      </c>
      <c r="K846" s="17" t="str">
        <f>HYPERLINK("http://ictvonline.org/taxonomyHistory.asp?taxnode_id=20170993","ICTVonline=20170993")</f>
        <v>ICTVonline=20170993</v>
      </c>
      <c r="L846" s="3">
        <v>845</v>
      </c>
    </row>
    <row r="847" spans="1:12" x14ac:dyDescent="0.15">
      <c r="A847" s="1" t="s">
        <v>1341</v>
      </c>
      <c r="B847" s="1" t="s">
        <v>904</v>
      </c>
      <c r="D847" s="1" t="s">
        <v>4592</v>
      </c>
      <c r="E847" s="1" t="s">
        <v>4594</v>
      </c>
      <c r="F847" s="3">
        <v>1</v>
      </c>
      <c r="G847" s="8" t="s">
        <v>2771</v>
      </c>
      <c r="H847" s="8" t="s">
        <v>5159</v>
      </c>
      <c r="I847" s="3">
        <v>31</v>
      </c>
      <c r="J847" s="3" t="s">
        <v>5480</v>
      </c>
      <c r="K847" s="17" t="str">
        <f>HYPERLINK("http://ictvonline.org/taxonomyHistory.asp?taxnode_id=20170994","ICTVonline=20170994")</f>
        <v>ICTVonline=20170994</v>
      </c>
      <c r="L847" s="3">
        <v>846</v>
      </c>
    </row>
    <row r="848" spans="1:12" x14ac:dyDescent="0.15">
      <c r="A848" s="1" t="s">
        <v>1341</v>
      </c>
      <c r="B848" s="1" t="s">
        <v>904</v>
      </c>
      <c r="D848" s="1" t="s">
        <v>4595</v>
      </c>
      <c r="E848" s="1" t="s">
        <v>4596</v>
      </c>
      <c r="F848" s="3">
        <v>1</v>
      </c>
      <c r="G848" s="8" t="s">
        <v>2771</v>
      </c>
      <c r="H848" s="8" t="s">
        <v>5159</v>
      </c>
      <c r="I848" s="3">
        <v>31</v>
      </c>
      <c r="J848" s="3" t="s">
        <v>5481</v>
      </c>
      <c r="K848" s="17" t="str">
        <f>HYPERLINK("http://ictvonline.org/taxonomyHistory.asp?taxnode_id=20170996","ICTVonline=20170996")</f>
        <v>ICTVonline=20170996</v>
      </c>
      <c r="L848" s="3">
        <v>847</v>
      </c>
    </row>
    <row r="849" spans="1:12" x14ac:dyDescent="0.15">
      <c r="A849" s="1" t="s">
        <v>1341</v>
      </c>
      <c r="B849" s="1" t="s">
        <v>904</v>
      </c>
      <c r="D849" s="1" t="s">
        <v>4595</v>
      </c>
      <c r="E849" s="1" t="s">
        <v>4597</v>
      </c>
      <c r="F849" s="3">
        <v>0</v>
      </c>
      <c r="G849" s="8" t="s">
        <v>2771</v>
      </c>
      <c r="H849" s="8" t="s">
        <v>5159</v>
      </c>
      <c r="I849" s="3">
        <v>31</v>
      </c>
      <c r="J849" s="3" t="s">
        <v>5481</v>
      </c>
      <c r="K849" s="17" t="str">
        <f>HYPERLINK("http://ictvonline.org/taxonomyHistory.asp?taxnode_id=20170997","ICTVonline=20170997")</f>
        <v>ICTVonline=20170997</v>
      </c>
      <c r="L849" s="3">
        <v>848</v>
      </c>
    </row>
    <row r="850" spans="1:12" x14ac:dyDescent="0.15">
      <c r="A850" s="1" t="s">
        <v>1341</v>
      </c>
      <c r="B850" s="1" t="s">
        <v>904</v>
      </c>
      <c r="D850" s="1" t="s">
        <v>4598</v>
      </c>
      <c r="E850" s="1" t="s">
        <v>4599</v>
      </c>
      <c r="F850" s="3">
        <v>0</v>
      </c>
      <c r="G850" s="8" t="s">
        <v>2771</v>
      </c>
      <c r="H850" s="8" t="s">
        <v>5159</v>
      </c>
      <c r="I850" s="3">
        <v>31</v>
      </c>
      <c r="J850" s="3" t="s">
        <v>5482</v>
      </c>
      <c r="K850" s="17" t="str">
        <f>HYPERLINK("http://ictvonline.org/taxonomyHistory.asp?taxnode_id=20170999","ICTVonline=20170999")</f>
        <v>ICTVonline=20170999</v>
      </c>
      <c r="L850" s="3">
        <v>849</v>
      </c>
    </row>
    <row r="851" spans="1:12" x14ac:dyDescent="0.15">
      <c r="A851" s="1" t="s">
        <v>1341</v>
      </c>
      <c r="B851" s="1" t="s">
        <v>904</v>
      </c>
      <c r="D851" s="1" t="s">
        <v>4598</v>
      </c>
      <c r="E851" s="1" t="s">
        <v>4600</v>
      </c>
      <c r="F851" s="3">
        <v>0</v>
      </c>
      <c r="G851" s="8" t="s">
        <v>2771</v>
      </c>
      <c r="H851" s="8" t="s">
        <v>5159</v>
      </c>
      <c r="I851" s="3">
        <v>31</v>
      </c>
      <c r="J851" s="3" t="s">
        <v>5482</v>
      </c>
      <c r="K851" s="17" t="str">
        <f>HYPERLINK("http://ictvonline.org/taxonomyHistory.asp?taxnode_id=20171000","ICTVonline=20171000")</f>
        <v>ICTVonline=20171000</v>
      </c>
      <c r="L851" s="3">
        <v>850</v>
      </c>
    </row>
    <row r="852" spans="1:12" x14ac:dyDescent="0.15">
      <c r="A852" s="1" t="s">
        <v>1341</v>
      </c>
      <c r="B852" s="1" t="s">
        <v>904</v>
      </c>
      <c r="D852" s="1" t="s">
        <v>4598</v>
      </c>
      <c r="E852" s="1" t="s">
        <v>4601</v>
      </c>
      <c r="F852" s="3">
        <v>0</v>
      </c>
      <c r="G852" s="8" t="s">
        <v>2771</v>
      </c>
      <c r="H852" s="8" t="s">
        <v>5159</v>
      </c>
      <c r="I852" s="3">
        <v>31</v>
      </c>
      <c r="J852" s="3" t="s">
        <v>5482</v>
      </c>
      <c r="K852" s="17" t="str">
        <f>HYPERLINK("http://ictvonline.org/taxonomyHistory.asp?taxnode_id=20171001","ICTVonline=20171001")</f>
        <v>ICTVonline=20171001</v>
      </c>
      <c r="L852" s="3">
        <v>851</v>
      </c>
    </row>
    <row r="853" spans="1:12" x14ac:dyDescent="0.15">
      <c r="A853" s="1" t="s">
        <v>1341</v>
      </c>
      <c r="B853" s="1" t="s">
        <v>904</v>
      </c>
      <c r="D853" s="1" t="s">
        <v>4598</v>
      </c>
      <c r="E853" s="1" t="s">
        <v>4602</v>
      </c>
      <c r="F853" s="3">
        <v>0</v>
      </c>
      <c r="G853" s="8" t="s">
        <v>2771</v>
      </c>
      <c r="H853" s="8" t="s">
        <v>5159</v>
      </c>
      <c r="I853" s="3">
        <v>31</v>
      </c>
      <c r="J853" s="3" t="s">
        <v>5482</v>
      </c>
      <c r="K853" s="17" t="str">
        <f>HYPERLINK("http://ictvonline.org/taxonomyHistory.asp?taxnode_id=20171002","ICTVonline=20171002")</f>
        <v>ICTVonline=20171002</v>
      </c>
      <c r="L853" s="3">
        <v>852</v>
      </c>
    </row>
    <row r="854" spans="1:12" x14ac:dyDescent="0.15">
      <c r="A854" s="1" t="s">
        <v>1341</v>
      </c>
      <c r="B854" s="1" t="s">
        <v>904</v>
      </c>
      <c r="D854" s="1" t="s">
        <v>4598</v>
      </c>
      <c r="E854" s="1" t="s">
        <v>4603</v>
      </c>
      <c r="F854" s="3">
        <v>0</v>
      </c>
      <c r="G854" s="8" t="s">
        <v>2771</v>
      </c>
      <c r="H854" s="8" t="s">
        <v>5159</v>
      </c>
      <c r="I854" s="3">
        <v>31</v>
      </c>
      <c r="J854" s="3" t="s">
        <v>5482</v>
      </c>
      <c r="K854" s="17" t="str">
        <f>HYPERLINK("http://ictvonline.org/taxonomyHistory.asp?taxnode_id=20171003","ICTVonline=20171003")</f>
        <v>ICTVonline=20171003</v>
      </c>
      <c r="L854" s="3">
        <v>853</v>
      </c>
    </row>
    <row r="855" spans="1:12" x14ac:dyDescent="0.15">
      <c r="A855" s="1" t="s">
        <v>1341</v>
      </c>
      <c r="B855" s="1" t="s">
        <v>904</v>
      </c>
      <c r="D855" s="1" t="s">
        <v>4598</v>
      </c>
      <c r="E855" s="1" t="s">
        <v>4604</v>
      </c>
      <c r="F855" s="3">
        <v>1</v>
      </c>
      <c r="G855" s="8" t="s">
        <v>2771</v>
      </c>
      <c r="H855" s="8" t="s">
        <v>5159</v>
      </c>
      <c r="I855" s="3">
        <v>31</v>
      </c>
      <c r="J855" s="3" t="s">
        <v>5482</v>
      </c>
      <c r="K855" s="17" t="str">
        <f>HYPERLINK("http://ictvonline.org/taxonomyHistory.asp?taxnode_id=20171004","ICTVonline=20171004")</f>
        <v>ICTVonline=20171004</v>
      </c>
      <c r="L855" s="3">
        <v>854</v>
      </c>
    </row>
    <row r="856" spans="1:12" x14ac:dyDescent="0.15">
      <c r="A856" s="1" t="s">
        <v>1341</v>
      </c>
      <c r="B856" s="1" t="s">
        <v>904</v>
      </c>
      <c r="D856" s="1" t="s">
        <v>4598</v>
      </c>
      <c r="E856" s="1" t="s">
        <v>4605</v>
      </c>
      <c r="F856" s="3">
        <v>0</v>
      </c>
      <c r="G856" s="8" t="s">
        <v>2771</v>
      </c>
      <c r="H856" s="8" t="s">
        <v>5159</v>
      </c>
      <c r="I856" s="3">
        <v>31</v>
      </c>
      <c r="J856" s="3" t="s">
        <v>5482</v>
      </c>
      <c r="K856" s="17" t="str">
        <f>HYPERLINK("http://ictvonline.org/taxonomyHistory.asp?taxnode_id=20171005","ICTVonline=20171005")</f>
        <v>ICTVonline=20171005</v>
      </c>
      <c r="L856" s="3">
        <v>855</v>
      </c>
    </row>
    <row r="857" spans="1:12" x14ac:dyDescent="0.15">
      <c r="A857" s="1" t="s">
        <v>1341</v>
      </c>
      <c r="B857" s="1" t="s">
        <v>904</v>
      </c>
      <c r="D857" s="1" t="s">
        <v>4598</v>
      </c>
      <c r="E857" s="1" t="s">
        <v>4606</v>
      </c>
      <c r="F857" s="3">
        <v>0</v>
      </c>
      <c r="G857" s="8" t="s">
        <v>2771</v>
      </c>
      <c r="H857" s="8" t="s">
        <v>5159</v>
      </c>
      <c r="I857" s="3">
        <v>31</v>
      </c>
      <c r="J857" s="3" t="s">
        <v>5482</v>
      </c>
      <c r="K857" s="17" t="str">
        <f>HYPERLINK("http://ictvonline.org/taxonomyHistory.asp?taxnode_id=20171006","ICTVonline=20171006")</f>
        <v>ICTVonline=20171006</v>
      </c>
      <c r="L857" s="3">
        <v>856</v>
      </c>
    </row>
    <row r="858" spans="1:12" x14ac:dyDescent="0.15">
      <c r="A858" s="1" t="s">
        <v>1341</v>
      </c>
      <c r="B858" s="1" t="s">
        <v>904</v>
      </c>
      <c r="D858" s="1" t="s">
        <v>4598</v>
      </c>
      <c r="E858" s="1" t="s">
        <v>4607</v>
      </c>
      <c r="F858" s="3">
        <v>0</v>
      </c>
      <c r="G858" s="8" t="s">
        <v>2771</v>
      </c>
      <c r="H858" s="8" t="s">
        <v>5159</v>
      </c>
      <c r="I858" s="3">
        <v>31</v>
      </c>
      <c r="J858" s="3" t="s">
        <v>5482</v>
      </c>
      <c r="K858" s="17" t="str">
        <f>HYPERLINK("http://ictvonline.org/taxonomyHistory.asp?taxnode_id=20171007","ICTVonline=20171007")</f>
        <v>ICTVonline=20171007</v>
      </c>
      <c r="L858" s="3">
        <v>857</v>
      </c>
    </row>
    <row r="859" spans="1:12" x14ac:dyDescent="0.15">
      <c r="A859" s="1" t="s">
        <v>1341</v>
      </c>
      <c r="B859" s="1" t="s">
        <v>904</v>
      </c>
      <c r="D859" s="1" t="s">
        <v>3305</v>
      </c>
      <c r="E859" s="1" t="s">
        <v>3306</v>
      </c>
      <c r="F859" s="3">
        <v>0</v>
      </c>
      <c r="G859" s="8" t="s">
        <v>2771</v>
      </c>
      <c r="H859" s="8" t="s">
        <v>5160</v>
      </c>
      <c r="I859" s="3">
        <v>30</v>
      </c>
      <c r="J859" s="3" t="s">
        <v>5297</v>
      </c>
      <c r="K859" s="17" t="str">
        <f>HYPERLINK("http://ictvonline.org/taxonomyHistory.asp?taxnode_id=20171009","ICTVonline=20171009")</f>
        <v>ICTVonline=20171009</v>
      </c>
      <c r="L859" s="3">
        <v>858</v>
      </c>
    </row>
    <row r="860" spans="1:12" x14ac:dyDescent="0.15">
      <c r="A860" s="1" t="s">
        <v>1341</v>
      </c>
      <c r="B860" s="1" t="s">
        <v>904</v>
      </c>
      <c r="D860" s="1" t="s">
        <v>3305</v>
      </c>
      <c r="E860" s="1" t="s">
        <v>3307</v>
      </c>
      <c r="F860" s="3">
        <v>0</v>
      </c>
      <c r="G860" s="8" t="s">
        <v>2771</v>
      </c>
      <c r="H860" s="8" t="s">
        <v>5160</v>
      </c>
      <c r="I860" s="3">
        <v>30</v>
      </c>
      <c r="J860" s="3" t="s">
        <v>5297</v>
      </c>
      <c r="K860" s="17" t="str">
        <f>HYPERLINK("http://ictvonline.org/taxonomyHistory.asp?taxnode_id=20171010","ICTVonline=20171010")</f>
        <v>ICTVonline=20171010</v>
      </c>
      <c r="L860" s="3">
        <v>859</v>
      </c>
    </row>
    <row r="861" spans="1:12" x14ac:dyDescent="0.15">
      <c r="A861" s="1" t="s">
        <v>1341</v>
      </c>
      <c r="B861" s="1" t="s">
        <v>904</v>
      </c>
      <c r="D861" s="1" t="s">
        <v>3305</v>
      </c>
      <c r="E861" s="1" t="s">
        <v>3308</v>
      </c>
      <c r="F861" s="3">
        <v>0</v>
      </c>
      <c r="G861" s="8" t="s">
        <v>2771</v>
      </c>
      <c r="H861" s="8" t="s">
        <v>5160</v>
      </c>
      <c r="I861" s="3">
        <v>30</v>
      </c>
      <c r="J861" s="3" t="s">
        <v>5297</v>
      </c>
      <c r="K861" s="17" t="str">
        <f>HYPERLINK("http://ictvonline.org/taxonomyHistory.asp?taxnode_id=20171011","ICTVonline=20171011")</f>
        <v>ICTVonline=20171011</v>
      </c>
      <c r="L861" s="3">
        <v>860</v>
      </c>
    </row>
    <row r="862" spans="1:12" x14ac:dyDescent="0.15">
      <c r="A862" s="1" t="s">
        <v>1341</v>
      </c>
      <c r="B862" s="1" t="s">
        <v>904</v>
      </c>
      <c r="D862" s="1" t="s">
        <v>3305</v>
      </c>
      <c r="E862" s="1" t="s">
        <v>3309</v>
      </c>
      <c r="F862" s="3">
        <v>0</v>
      </c>
      <c r="G862" s="8" t="s">
        <v>2771</v>
      </c>
      <c r="H862" s="8" t="s">
        <v>5160</v>
      </c>
      <c r="I862" s="3">
        <v>30</v>
      </c>
      <c r="J862" s="3" t="s">
        <v>5297</v>
      </c>
      <c r="K862" s="17" t="str">
        <f>HYPERLINK("http://ictvonline.org/taxonomyHistory.asp?taxnode_id=20171012","ICTVonline=20171012")</f>
        <v>ICTVonline=20171012</v>
      </c>
      <c r="L862" s="3">
        <v>861</v>
      </c>
    </row>
    <row r="863" spans="1:12" x14ac:dyDescent="0.15">
      <c r="A863" s="1" t="s">
        <v>1341</v>
      </c>
      <c r="B863" s="1" t="s">
        <v>904</v>
      </c>
      <c r="D863" s="1" t="s">
        <v>3305</v>
      </c>
      <c r="E863" s="1" t="s">
        <v>3310</v>
      </c>
      <c r="F863" s="3">
        <v>0</v>
      </c>
      <c r="G863" s="8" t="s">
        <v>2771</v>
      </c>
      <c r="H863" s="8" t="s">
        <v>5160</v>
      </c>
      <c r="I863" s="3">
        <v>30</v>
      </c>
      <c r="J863" s="3" t="s">
        <v>5297</v>
      </c>
      <c r="K863" s="17" t="str">
        <f>HYPERLINK("http://ictvonline.org/taxonomyHistory.asp?taxnode_id=20171013","ICTVonline=20171013")</f>
        <v>ICTVonline=20171013</v>
      </c>
      <c r="L863" s="3">
        <v>862</v>
      </c>
    </row>
    <row r="864" spans="1:12" x14ac:dyDescent="0.15">
      <c r="A864" s="1" t="s">
        <v>1341</v>
      </c>
      <c r="B864" s="1" t="s">
        <v>904</v>
      </c>
      <c r="D864" s="1" t="s">
        <v>3305</v>
      </c>
      <c r="E864" s="1" t="s">
        <v>3311</v>
      </c>
      <c r="F864" s="3">
        <v>0</v>
      </c>
      <c r="G864" s="8" t="s">
        <v>2771</v>
      </c>
      <c r="H864" s="8" t="s">
        <v>5160</v>
      </c>
      <c r="I864" s="3">
        <v>30</v>
      </c>
      <c r="J864" s="3" t="s">
        <v>5297</v>
      </c>
      <c r="K864" s="17" t="str">
        <f>HYPERLINK("http://ictvonline.org/taxonomyHistory.asp?taxnode_id=20171014","ICTVonline=20171014")</f>
        <v>ICTVonline=20171014</v>
      </c>
      <c r="L864" s="3">
        <v>863</v>
      </c>
    </row>
    <row r="865" spans="1:12" x14ac:dyDescent="0.15">
      <c r="A865" s="1" t="s">
        <v>1341</v>
      </c>
      <c r="B865" s="1" t="s">
        <v>904</v>
      </c>
      <c r="D865" s="1" t="s">
        <v>3305</v>
      </c>
      <c r="E865" s="1" t="s">
        <v>3312</v>
      </c>
      <c r="F865" s="3">
        <v>0</v>
      </c>
      <c r="G865" s="8" t="s">
        <v>2771</v>
      </c>
      <c r="H865" s="8" t="s">
        <v>5160</v>
      </c>
      <c r="I865" s="3">
        <v>30</v>
      </c>
      <c r="J865" s="3" t="s">
        <v>5297</v>
      </c>
      <c r="K865" s="17" t="str">
        <f>HYPERLINK("http://ictvonline.org/taxonomyHistory.asp?taxnode_id=20171015","ICTVonline=20171015")</f>
        <v>ICTVonline=20171015</v>
      </c>
      <c r="L865" s="3">
        <v>864</v>
      </c>
    </row>
    <row r="866" spans="1:12" x14ac:dyDescent="0.15">
      <c r="A866" s="1" t="s">
        <v>1341</v>
      </c>
      <c r="B866" s="1" t="s">
        <v>904</v>
      </c>
      <c r="D866" s="1" t="s">
        <v>3305</v>
      </c>
      <c r="E866" s="1" t="s">
        <v>3313</v>
      </c>
      <c r="F866" s="3">
        <v>0</v>
      </c>
      <c r="G866" s="8" t="s">
        <v>2771</v>
      </c>
      <c r="H866" s="8" t="s">
        <v>5160</v>
      </c>
      <c r="I866" s="3">
        <v>30</v>
      </c>
      <c r="J866" s="3" t="s">
        <v>5297</v>
      </c>
      <c r="K866" s="17" t="str">
        <f>HYPERLINK("http://ictvonline.org/taxonomyHistory.asp?taxnode_id=20171016","ICTVonline=20171016")</f>
        <v>ICTVonline=20171016</v>
      </c>
      <c r="L866" s="3">
        <v>865</v>
      </c>
    </row>
    <row r="867" spans="1:12" x14ac:dyDescent="0.15">
      <c r="A867" s="1" t="s">
        <v>1341</v>
      </c>
      <c r="B867" s="1" t="s">
        <v>904</v>
      </c>
      <c r="D867" s="1" t="s">
        <v>3305</v>
      </c>
      <c r="E867" s="1" t="s">
        <v>3314</v>
      </c>
      <c r="F867" s="3">
        <v>0</v>
      </c>
      <c r="G867" s="8" t="s">
        <v>2771</v>
      </c>
      <c r="H867" s="8" t="s">
        <v>5160</v>
      </c>
      <c r="I867" s="3">
        <v>30</v>
      </c>
      <c r="J867" s="3" t="s">
        <v>5297</v>
      </c>
      <c r="K867" s="17" t="str">
        <f>HYPERLINK("http://ictvonline.org/taxonomyHistory.asp?taxnode_id=20171017","ICTVonline=20171017")</f>
        <v>ICTVonline=20171017</v>
      </c>
      <c r="L867" s="3">
        <v>866</v>
      </c>
    </row>
    <row r="868" spans="1:12" x14ac:dyDescent="0.15">
      <c r="A868" s="1" t="s">
        <v>1341</v>
      </c>
      <c r="B868" s="1" t="s">
        <v>904</v>
      </c>
      <c r="D868" s="1" t="s">
        <v>3305</v>
      </c>
      <c r="E868" s="1" t="s">
        <v>3315</v>
      </c>
      <c r="F868" s="3">
        <v>0</v>
      </c>
      <c r="G868" s="8" t="s">
        <v>2771</v>
      </c>
      <c r="H868" s="8" t="s">
        <v>5160</v>
      </c>
      <c r="I868" s="3">
        <v>30</v>
      </c>
      <c r="J868" s="3" t="s">
        <v>5297</v>
      </c>
      <c r="K868" s="17" t="str">
        <f>HYPERLINK("http://ictvonline.org/taxonomyHistory.asp?taxnode_id=20171018","ICTVonline=20171018")</f>
        <v>ICTVonline=20171018</v>
      </c>
      <c r="L868" s="3">
        <v>867</v>
      </c>
    </row>
    <row r="869" spans="1:12" x14ac:dyDescent="0.15">
      <c r="A869" s="1" t="s">
        <v>1341</v>
      </c>
      <c r="B869" s="1" t="s">
        <v>904</v>
      </c>
      <c r="D869" s="1" t="s">
        <v>3305</v>
      </c>
      <c r="E869" s="1" t="s">
        <v>3316</v>
      </c>
      <c r="F869" s="3">
        <v>0</v>
      </c>
      <c r="G869" s="8" t="s">
        <v>2771</v>
      </c>
      <c r="H869" s="8" t="s">
        <v>5160</v>
      </c>
      <c r="I869" s="3">
        <v>30</v>
      </c>
      <c r="J869" s="3" t="s">
        <v>5297</v>
      </c>
      <c r="K869" s="17" t="str">
        <f>HYPERLINK("http://ictvonline.org/taxonomyHistory.asp?taxnode_id=20171019","ICTVonline=20171019")</f>
        <v>ICTVonline=20171019</v>
      </c>
      <c r="L869" s="3">
        <v>868</v>
      </c>
    </row>
    <row r="870" spans="1:12" x14ac:dyDescent="0.15">
      <c r="A870" s="1" t="s">
        <v>1341</v>
      </c>
      <c r="B870" s="1" t="s">
        <v>904</v>
      </c>
      <c r="D870" s="1" t="s">
        <v>3305</v>
      </c>
      <c r="E870" s="1" t="s">
        <v>3317</v>
      </c>
      <c r="F870" s="3">
        <v>0</v>
      </c>
      <c r="G870" s="8" t="s">
        <v>2771</v>
      </c>
      <c r="H870" s="8" t="s">
        <v>5160</v>
      </c>
      <c r="I870" s="3">
        <v>30</v>
      </c>
      <c r="J870" s="3" t="s">
        <v>5297</v>
      </c>
      <c r="K870" s="17" t="str">
        <f>HYPERLINK("http://ictvonline.org/taxonomyHistory.asp?taxnode_id=20171020","ICTVonline=20171020")</f>
        <v>ICTVonline=20171020</v>
      </c>
      <c r="L870" s="3">
        <v>869</v>
      </c>
    </row>
    <row r="871" spans="1:12" x14ac:dyDescent="0.15">
      <c r="A871" s="1" t="s">
        <v>1341</v>
      </c>
      <c r="B871" s="1" t="s">
        <v>904</v>
      </c>
      <c r="D871" s="1" t="s">
        <v>3305</v>
      </c>
      <c r="E871" s="1" t="s">
        <v>3318</v>
      </c>
      <c r="F871" s="3">
        <v>0</v>
      </c>
      <c r="G871" s="8" t="s">
        <v>2771</v>
      </c>
      <c r="H871" s="8" t="s">
        <v>5160</v>
      </c>
      <c r="I871" s="3">
        <v>30</v>
      </c>
      <c r="J871" s="3" t="s">
        <v>5297</v>
      </c>
      <c r="K871" s="17" t="str">
        <f>HYPERLINK("http://ictvonline.org/taxonomyHistory.asp?taxnode_id=20171021","ICTVonline=20171021")</f>
        <v>ICTVonline=20171021</v>
      </c>
      <c r="L871" s="3">
        <v>870</v>
      </c>
    </row>
    <row r="872" spans="1:12" x14ac:dyDescent="0.15">
      <c r="A872" s="1" t="s">
        <v>1341</v>
      </c>
      <c r="B872" s="1" t="s">
        <v>904</v>
      </c>
      <c r="D872" s="1" t="s">
        <v>3305</v>
      </c>
      <c r="E872" s="1" t="s">
        <v>3319</v>
      </c>
      <c r="F872" s="3">
        <v>0</v>
      </c>
      <c r="G872" s="8" t="s">
        <v>2771</v>
      </c>
      <c r="H872" s="8" t="s">
        <v>5160</v>
      </c>
      <c r="I872" s="3">
        <v>30</v>
      </c>
      <c r="J872" s="3" t="s">
        <v>5297</v>
      </c>
      <c r="K872" s="17" t="str">
        <f>HYPERLINK("http://ictvonline.org/taxonomyHistory.asp?taxnode_id=20171022","ICTVonline=20171022")</f>
        <v>ICTVonline=20171022</v>
      </c>
      <c r="L872" s="3">
        <v>871</v>
      </c>
    </row>
    <row r="873" spans="1:12" x14ac:dyDescent="0.15">
      <c r="A873" s="1" t="s">
        <v>1341</v>
      </c>
      <c r="B873" s="1" t="s">
        <v>904</v>
      </c>
      <c r="D873" s="1" t="s">
        <v>3305</v>
      </c>
      <c r="E873" s="1" t="s">
        <v>3320</v>
      </c>
      <c r="F873" s="3">
        <v>0</v>
      </c>
      <c r="G873" s="8" t="s">
        <v>2771</v>
      </c>
      <c r="H873" s="8" t="s">
        <v>5160</v>
      </c>
      <c r="I873" s="3">
        <v>30</v>
      </c>
      <c r="J873" s="3" t="s">
        <v>5297</v>
      </c>
      <c r="K873" s="17" t="str">
        <f>HYPERLINK("http://ictvonline.org/taxonomyHistory.asp?taxnode_id=20171023","ICTVonline=20171023")</f>
        <v>ICTVonline=20171023</v>
      </c>
      <c r="L873" s="3">
        <v>872</v>
      </c>
    </row>
    <row r="874" spans="1:12" x14ac:dyDescent="0.15">
      <c r="A874" s="1" t="s">
        <v>1341</v>
      </c>
      <c r="B874" s="1" t="s">
        <v>904</v>
      </c>
      <c r="D874" s="1" t="s">
        <v>3305</v>
      </c>
      <c r="E874" s="1" t="s">
        <v>3321</v>
      </c>
      <c r="F874" s="3">
        <v>0</v>
      </c>
      <c r="G874" s="8" t="s">
        <v>2771</v>
      </c>
      <c r="H874" s="8" t="s">
        <v>5160</v>
      </c>
      <c r="I874" s="3">
        <v>30</v>
      </c>
      <c r="J874" s="3" t="s">
        <v>5297</v>
      </c>
      <c r="K874" s="17" t="str">
        <f>HYPERLINK("http://ictvonline.org/taxonomyHistory.asp?taxnode_id=20171024","ICTVonline=20171024")</f>
        <v>ICTVonline=20171024</v>
      </c>
      <c r="L874" s="3">
        <v>873</v>
      </c>
    </row>
    <row r="875" spans="1:12" x14ac:dyDescent="0.15">
      <c r="A875" s="1" t="s">
        <v>1341</v>
      </c>
      <c r="B875" s="1" t="s">
        <v>904</v>
      </c>
      <c r="D875" s="1" t="s">
        <v>3305</v>
      </c>
      <c r="E875" s="1" t="s">
        <v>3322</v>
      </c>
      <c r="F875" s="3">
        <v>0</v>
      </c>
      <c r="G875" s="8" t="s">
        <v>2771</v>
      </c>
      <c r="H875" s="8" t="s">
        <v>5160</v>
      </c>
      <c r="I875" s="3">
        <v>30</v>
      </c>
      <c r="J875" s="3" t="s">
        <v>5297</v>
      </c>
      <c r="K875" s="17" t="str">
        <f>HYPERLINK("http://ictvonline.org/taxonomyHistory.asp?taxnode_id=20171025","ICTVonline=20171025")</f>
        <v>ICTVonline=20171025</v>
      </c>
      <c r="L875" s="3">
        <v>874</v>
      </c>
    </row>
    <row r="876" spans="1:12" x14ac:dyDescent="0.15">
      <c r="A876" s="1" t="s">
        <v>1341</v>
      </c>
      <c r="B876" s="1" t="s">
        <v>904</v>
      </c>
      <c r="D876" s="1" t="s">
        <v>3305</v>
      </c>
      <c r="E876" s="1" t="s">
        <v>3323</v>
      </c>
      <c r="F876" s="3">
        <v>0</v>
      </c>
      <c r="G876" s="8" t="s">
        <v>2771</v>
      </c>
      <c r="H876" s="8" t="s">
        <v>5160</v>
      </c>
      <c r="I876" s="3">
        <v>30</v>
      </c>
      <c r="J876" s="3" t="s">
        <v>5297</v>
      </c>
      <c r="K876" s="17" t="str">
        <f>HYPERLINK("http://ictvonline.org/taxonomyHistory.asp?taxnode_id=20171026","ICTVonline=20171026")</f>
        <v>ICTVonline=20171026</v>
      </c>
      <c r="L876" s="3">
        <v>875</v>
      </c>
    </row>
    <row r="877" spans="1:12" x14ac:dyDescent="0.15">
      <c r="A877" s="1" t="s">
        <v>1341</v>
      </c>
      <c r="B877" s="1" t="s">
        <v>904</v>
      </c>
      <c r="D877" s="1" t="s">
        <v>3305</v>
      </c>
      <c r="E877" s="1" t="s">
        <v>3324</v>
      </c>
      <c r="F877" s="3">
        <v>0</v>
      </c>
      <c r="G877" s="8" t="s">
        <v>2771</v>
      </c>
      <c r="H877" s="8" t="s">
        <v>5160</v>
      </c>
      <c r="I877" s="3">
        <v>30</v>
      </c>
      <c r="J877" s="3" t="s">
        <v>5297</v>
      </c>
      <c r="K877" s="17" t="str">
        <f>HYPERLINK("http://ictvonline.org/taxonomyHistory.asp?taxnode_id=20171027","ICTVonline=20171027")</f>
        <v>ICTVonline=20171027</v>
      </c>
      <c r="L877" s="3">
        <v>876</v>
      </c>
    </row>
    <row r="878" spans="1:12" x14ac:dyDescent="0.15">
      <c r="A878" s="1" t="s">
        <v>1341</v>
      </c>
      <c r="B878" s="1" t="s">
        <v>904</v>
      </c>
      <c r="D878" s="1" t="s">
        <v>3305</v>
      </c>
      <c r="E878" s="1" t="s">
        <v>3325</v>
      </c>
      <c r="F878" s="3">
        <v>0</v>
      </c>
      <c r="G878" s="8" t="s">
        <v>2771</v>
      </c>
      <c r="H878" s="8" t="s">
        <v>5160</v>
      </c>
      <c r="I878" s="3">
        <v>30</v>
      </c>
      <c r="J878" s="3" t="s">
        <v>5297</v>
      </c>
      <c r="K878" s="17" t="str">
        <f>HYPERLINK("http://ictvonline.org/taxonomyHistory.asp?taxnode_id=20171028","ICTVonline=20171028")</f>
        <v>ICTVonline=20171028</v>
      </c>
      <c r="L878" s="3">
        <v>877</v>
      </c>
    </row>
    <row r="879" spans="1:12" x14ac:dyDescent="0.15">
      <c r="A879" s="1" t="s">
        <v>1341</v>
      </c>
      <c r="B879" s="1" t="s">
        <v>904</v>
      </c>
      <c r="D879" s="1" t="s">
        <v>3305</v>
      </c>
      <c r="E879" s="1" t="s">
        <v>3326</v>
      </c>
      <c r="F879" s="3">
        <v>0</v>
      </c>
      <c r="G879" s="8" t="s">
        <v>2771</v>
      </c>
      <c r="H879" s="8" t="s">
        <v>5160</v>
      </c>
      <c r="I879" s="3">
        <v>30</v>
      </c>
      <c r="J879" s="3" t="s">
        <v>5297</v>
      </c>
      <c r="K879" s="17" t="str">
        <f>HYPERLINK("http://ictvonline.org/taxonomyHistory.asp?taxnode_id=20171029","ICTVonline=20171029")</f>
        <v>ICTVonline=20171029</v>
      </c>
      <c r="L879" s="3">
        <v>878</v>
      </c>
    </row>
    <row r="880" spans="1:12" x14ac:dyDescent="0.15">
      <c r="A880" s="1" t="s">
        <v>1341</v>
      </c>
      <c r="B880" s="1" t="s">
        <v>904</v>
      </c>
      <c r="D880" s="1" t="s">
        <v>3305</v>
      </c>
      <c r="E880" s="1" t="s">
        <v>3327</v>
      </c>
      <c r="F880" s="3">
        <v>0</v>
      </c>
      <c r="G880" s="8" t="s">
        <v>2771</v>
      </c>
      <c r="H880" s="8" t="s">
        <v>5160</v>
      </c>
      <c r="I880" s="3">
        <v>30</v>
      </c>
      <c r="J880" s="3" t="s">
        <v>5297</v>
      </c>
      <c r="K880" s="17" t="str">
        <f>HYPERLINK("http://ictvonline.org/taxonomyHistory.asp?taxnode_id=20171030","ICTVonline=20171030")</f>
        <v>ICTVonline=20171030</v>
      </c>
      <c r="L880" s="3">
        <v>879</v>
      </c>
    </row>
    <row r="881" spans="1:12" x14ac:dyDescent="0.15">
      <c r="A881" s="1" t="s">
        <v>1341</v>
      </c>
      <c r="B881" s="1" t="s">
        <v>904</v>
      </c>
      <c r="D881" s="1" t="s">
        <v>3305</v>
      </c>
      <c r="E881" s="1" t="s">
        <v>3328</v>
      </c>
      <c r="F881" s="3">
        <v>0</v>
      </c>
      <c r="G881" s="8" t="s">
        <v>2771</v>
      </c>
      <c r="H881" s="8" t="s">
        <v>5160</v>
      </c>
      <c r="I881" s="3">
        <v>30</v>
      </c>
      <c r="J881" s="3" t="s">
        <v>5297</v>
      </c>
      <c r="K881" s="17" t="str">
        <f>HYPERLINK("http://ictvonline.org/taxonomyHistory.asp?taxnode_id=20171031","ICTVonline=20171031")</f>
        <v>ICTVonline=20171031</v>
      </c>
      <c r="L881" s="3">
        <v>880</v>
      </c>
    </row>
    <row r="882" spans="1:12" x14ac:dyDescent="0.15">
      <c r="A882" s="1" t="s">
        <v>1341</v>
      </c>
      <c r="B882" s="1" t="s">
        <v>904</v>
      </c>
      <c r="D882" s="1" t="s">
        <v>3305</v>
      </c>
      <c r="E882" s="1" t="s">
        <v>3329</v>
      </c>
      <c r="F882" s="3">
        <v>0</v>
      </c>
      <c r="G882" s="8" t="s">
        <v>2771</v>
      </c>
      <c r="H882" s="8" t="s">
        <v>5160</v>
      </c>
      <c r="I882" s="3">
        <v>30</v>
      </c>
      <c r="J882" s="3" t="s">
        <v>5297</v>
      </c>
      <c r="K882" s="17" t="str">
        <f>HYPERLINK("http://ictvonline.org/taxonomyHistory.asp?taxnode_id=20171032","ICTVonline=20171032")</f>
        <v>ICTVonline=20171032</v>
      </c>
      <c r="L882" s="3">
        <v>881</v>
      </c>
    </row>
    <row r="883" spans="1:12" x14ac:dyDescent="0.15">
      <c r="A883" s="1" t="s">
        <v>1341</v>
      </c>
      <c r="B883" s="1" t="s">
        <v>904</v>
      </c>
      <c r="D883" s="1" t="s">
        <v>3305</v>
      </c>
      <c r="E883" s="1" t="s">
        <v>3330</v>
      </c>
      <c r="F883" s="3">
        <v>0</v>
      </c>
      <c r="G883" s="8" t="s">
        <v>2771</v>
      </c>
      <c r="H883" s="8" t="s">
        <v>5160</v>
      </c>
      <c r="I883" s="3">
        <v>30</v>
      </c>
      <c r="J883" s="3" t="s">
        <v>5297</v>
      </c>
      <c r="K883" s="17" t="str">
        <f>HYPERLINK("http://ictvonline.org/taxonomyHistory.asp?taxnode_id=20171033","ICTVonline=20171033")</f>
        <v>ICTVonline=20171033</v>
      </c>
      <c r="L883" s="3">
        <v>882</v>
      </c>
    </row>
    <row r="884" spans="1:12" x14ac:dyDescent="0.15">
      <c r="A884" s="1" t="s">
        <v>1341</v>
      </c>
      <c r="B884" s="1" t="s">
        <v>904</v>
      </c>
      <c r="D884" s="1" t="s">
        <v>3305</v>
      </c>
      <c r="E884" s="1" t="s">
        <v>3331</v>
      </c>
      <c r="F884" s="3">
        <v>0</v>
      </c>
      <c r="G884" s="8" t="s">
        <v>2771</v>
      </c>
      <c r="H884" s="8" t="s">
        <v>5160</v>
      </c>
      <c r="I884" s="3">
        <v>30</v>
      </c>
      <c r="J884" s="3" t="s">
        <v>5297</v>
      </c>
      <c r="K884" s="17" t="str">
        <f>HYPERLINK("http://ictvonline.org/taxonomyHistory.asp?taxnode_id=20171034","ICTVonline=20171034")</f>
        <v>ICTVonline=20171034</v>
      </c>
      <c r="L884" s="3">
        <v>883</v>
      </c>
    </row>
    <row r="885" spans="1:12" x14ac:dyDescent="0.15">
      <c r="A885" s="1" t="s">
        <v>1341</v>
      </c>
      <c r="B885" s="1" t="s">
        <v>904</v>
      </c>
      <c r="D885" s="1" t="s">
        <v>3305</v>
      </c>
      <c r="E885" s="1" t="s">
        <v>3332</v>
      </c>
      <c r="F885" s="3">
        <v>0</v>
      </c>
      <c r="G885" s="8" t="s">
        <v>2771</v>
      </c>
      <c r="H885" s="8" t="s">
        <v>5160</v>
      </c>
      <c r="I885" s="3">
        <v>30</v>
      </c>
      <c r="J885" s="3" t="s">
        <v>5297</v>
      </c>
      <c r="K885" s="17" t="str">
        <f>HYPERLINK("http://ictvonline.org/taxonomyHistory.asp?taxnode_id=20171035","ICTVonline=20171035")</f>
        <v>ICTVonline=20171035</v>
      </c>
      <c r="L885" s="3">
        <v>884</v>
      </c>
    </row>
    <row r="886" spans="1:12" x14ac:dyDescent="0.15">
      <c r="A886" s="1" t="s">
        <v>1341</v>
      </c>
      <c r="B886" s="1" t="s">
        <v>904</v>
      </c>
      <c r="D886" s="1" t="s">
        <v>3305</v>
      </c>
      <c r="E886" s="1" t="s">
        <v>3333</v>
      </c>
      <c r="F886" s="3">
        <v>0</v>
      </c>
      <c r="G886" s="8" t="s">
        <v>2771</v>
      </c>
      <c r="H886" s="8" t="s">
        <v>5160</v>
      </c>
      <c r="I886" s="3">
        <v>30</v>
      </c>
      <c r="J886" s="3" t="s">
        <v>5297</v>
      </c>
      <c r="K886" s="17" t="str">
        <f>HYPERLINK("http://ictvonline.org/taxonomyHistory.asp?taxnode_id=20171036","ICTVonline=20171036")</f>
        <v>ICTVonline=20171036</v>
      </c>
      <c r="L886" s="3">
        <v>885</v>
      </c>
    </row>
    <row r="887" spans="1:12" x14ac:dyDescent="0.15">
      <c r="A887" s="1" t="s">
        <v>1341</v>
      </c>
      <c r="B887" s="1" t="s">
        <v>904</v>
      </c>
      <c r="D887" s="1" t="s">
        <v>3305</v>
      </c>
      <c r="E887" s="1" t="s">
        <v>3334</v>
      </c>
      <c r="F887" s="3">
        <v>0</v>
      </c>
      <c r="G887" s="8" t="s">
        <v>2771</v>
      </c>
      <c r="H887" s="8" t="s">
        <v>5160</v>
      </c>
      <c r="I887" s="3">
        <v>30</v>
      </c>
      <c r="J887" s="3" t="s">
        <v>5297</v>
      </c>
      <c r="K887" s="17" t="str">
        <f>HYPERLINK("http://ictvonline.org/taxonomyHistory.asp?taxnode_id=20171037","ICTVonline=20171037")</f>
        <v>ICTVonline=20171037</v>
      </c>
      <c r="L887" s="3">
        <v>886</v>
      </c>
    </row>
    <row r="888" spans="1:12" x14ac:dyDescent="0.15">
      <c r="A888" s="1" t="s">
        <v>1341</v>
      </c>
      <c r="B888" s="1" t="s">
        <v>904</v>
      </c>
      <c r="D888" s="1" t="s">
        <v>3305</v>
      </c>
      <c r="E888" s="1" t="s">
        <v>3335</v>
      </c>
      <c r="F888" s="3">
        <v>1</v>
      </c>
      <c r="G888" s="8" t="s">
        <v>2771</v>
      </c>
      <c r="H888" s="8" t="s">
        <v>5160</v>
      </c>
      <c r="I888" s="3">
        <v>30</v>
      </c>
      <c r="J888" s="3" t="s">
        <v>5297</v>
      </c>
      <c r="K888" s="17" t="str">
        <f>HYPERLINK("http://ictvonline.org/taxonomyHistory.asp?taxnode_id=20171038","ICTVonline=20171038")</f>
        <v>ICTVonline=20171038</v>
      </c>
      <c r="L888" s="3">
        <v>887</v>
      </c>
    </row>
    <row r="889" spans="1:12" x14ac:dyDescent="0.15">
      <c r="A889" s="1" t="s">
        <v>1341</v>
      </c>
      <c r="B889" s="1" t="s">
        <v>904</v>
      </c>
      <c r="D889" s="1" t="s">
        <v>3305</v>
      </c>
      <c r="E889" s="1" t="s">
        <v>3336</v>
      </c>
      <c r="F889" s="3">
        <v>0</v>
      </c>
      <c r="G889" s="8" t="s">
        <v>2771</v>
      </c>
      <c r="H889" s="8" t="s">
        <v>5160</v>
      </c>
      <c r="I889" s="3">
        <v>30</v>
      </c>
      <c r="J889" s="3" t="s">
        <v>5297</v>
      </c>
      <c r="K889" s="17" t="str">
        <f>HYPERLINK("http://ictvonline.org/taxonomyHistory.asp?taxnode_id=20171039","ICTVonline=20171039")</f>
        <v>ICTVonline=20171039</v>
      </c>
      <c r="L889" s="3">
        <v>888</v>
      </c>
    </row>
    <row r="890" spans="1:12" x14ac:dyDescent="0.15">
      <c r="A890" s="1" t="s">
        <v>1341</v>
      </c>
      <c r="B890" s="1" t="s">
        <v>904</v>
      </c>
      <c r="D890" s="1" t="s">
        <v>3305</v>
      </c>
      <c r="E890" s="1" t="s">
        <v>3337</v>
      </c>
      <c r="F890" s="3">
        <v>0</v>
      </c>
      <c r="G890" s="8" t="s">
        <v>2771</v>
      </c>
      <c r="H890" s="8" t="s">
        <v>5160</v>
      </c>
      <c r="I890" s="3">
        <v>30</v>
      </c>
      <c r="J890" s="3" t="s">
        <v>5297</v>
      </c>
      <c r="K890" s="17" t="str">
        <f>HYPERLINK("http://ictvonline.org/taxonomyHistory.asp?taxnode_id=20171040","ICTVonline=20171040")</f>
        <v>ICTVonline=20171040</v>
      </c>
      <c r="L890" s="3">
        <v>889</v>
      </c>
    </row>
    <row r="891" spans="1:12" x14ac:dyDescent="0.15">
      <c r="A891" s="1" t="s">
        <v>1341</v>
      </c>
      <c r="B891" s="1" t="s">
        <v>904</v>
      </c>
      <c r="D891" s="1" t="s">
        <v>3305</v>
      </c>
      <c r="E891" s="1" t="s">
        <v>3338</v>
      </c>
      <c r="F891" s="3">
        <v>0</v>
      </c>
      <c r="G891" s="8" t="s">
        <v>2771</v>
      </c>
      <c r="H891" s="8" t="s">
        <v>5160</v>
      </c>
      <c r="I891" s="3">
        <v>30</v>
      </c>
      <c r="J891" s="3" t="s">
        <v>5297</v>
      </c>
      <c r="K891" s="17" t="str">
        <f>HYPERLINK("http://ictvonline.org/taxonomyHistory.asp?taxnode_id=20171041","ICTVonline=20171041")</f>
        <v>ICTVonline=20171041</v>
      </c>
      <c r="L891" s="3">
        <v>890</v>
      </c>
    </row>
    <row r="892" spans="1:12" x14ac:dyDescent="0.15">
      <c r="A892" s="1" t="s">
        <v>1341</v>
      </c>
      <c r="B892" s="1" t="s">
        <v>904</v>
      </c>
      <c r="D892" s="1" t="s">
        <v>3305</v>
      </c>
      <c r="E892" s="1" t="s">
        <v>3339</v>
      </c>
      <c r="F892" s="3">
        <v>0</v>
      </c>
      <c r="G892" s="8" t="s">
        <v>2771</v>
      </c>
      <c r="H892" s="8" t="s">
        <v>5160</v>
      </c>
      <c r="I892" s="3">
        <v>30</v>
      </c>
      <c r="J892" s="3" t="s">
        <v>5297</v>
      </c>
      <c r="K892" s="17" t="str">
        <f>HYPERLINK("http://ictvonline.org/taxonomyHistory.asp?taxnode_id=20171042","ICTVonline=20171042")</f>
        <v>ICTVonline=20171042</v>
      </c>
      <c r="L892" s="3">
        <v>891</v>
      </c>
    </row>
    <row r="893" spans="1:12" x14ac:dyDescent="0.15">
      <c r="A893" s="1" t="s">
        <v>1341</v>
      </c>
      <c r="B893" s="1" t="s">
        <v>904</v>
      </c>
      <c r="D893" s="1" t="s">
        <v>3305</v>
      </c>
      <c r="E893" s="1" t="s">
        <v>3340</v>
      </c>
      <c r="F893" s="3">
        <v>0</v>
      </c>
      <c r="G893" s="8" t="s">
        <v>2771</v>
      </c>
      <c r="H893" s="8" t="s">
        <v>5160</v>
      </c>
      <c r="I893" s="3">
        <v>30</v>
      </c>
      <c r="J893" s="3" t="s">
        <v>5297</v>
      </c>
      <c r="K893" s="17" t="str">
        <f>HYPERLINK("http://ictvonline.org/taxonomyHistory.asp?taxnode_id=20171043","ICTVonline=20171043")</f>
        <v>ICTVonline=20171043</v>
      </c>
      <c r="L893" s="3">
        <v>892</v>
      </c>
    </row>
    <row r="894" spans="1:12" x14ac:dyDescent="0.15">
      <c r="A894" s="1" t="s">
        <v>1341</v>
      </c>
      <c r="B894" s="1" t="s">
        <v>904</v>
      </c>
      <c r="D894" s="1" t="s">
        <v>3305</v>
      </c>
      <c r="E894" s="1" t="s">
        <v>3341</v>
      </c>
      <c r="F894" s="3">
        <v>0</v>
      </c>
      <c r="G894" s="8" t="s">
        <v>2771</v>
      </c>
      <c r="H894" s="8" t="s">
        <v>5160</v>
      </c>
      <c r="I894" s="3">
        <v>30</v>
      </c>
      <c r="J894" s="3" t="s">
        <v>5297</v>
      </c>
      <c r="K894" s="17" t="str">
        <f>HYPERLINK("http://ictvonline.org/taxonomyHistory.asp?taxnode_id=20171044","ICTVonline=20171044")</f>
        <v>ICTVonline=20171044</v>
      </c>
      <c r="L894" s="3">
        <v>893</v>
      </c>
    </row>
    <row r="895" spans="1:12" x14ac:dyDescent="0.15">
      <c r="A895" s="1" t="s">
        <v>1341</v>
      </c>
      <c r="B895" s="1" t="s">
        <v>904</v>
      </c>
      <c r="D895" s="1" t="s">
        <v>3305</v>
      </c>
      <c r="E895" s="1" t="s">
        <v>3342</v>
      </c>
      <c r="F895" s="3">
        <v>0</v>
      </c>
      <c r="G895" s="8" t="s">
        <v>2771</v>
      </c>
      <c r="H895" s="8" t="s">
        <v>5160</v>
      </c>
      <c r="I895" s="3">
        <v>30</v>
      </c>
      <c r="J895" s="3" t="s">
        <v>5297</v>
      </c>
      <c r="K895" s="17" t="str">
        <f>HYPERLINK("http://ictvonline.org/taxonomyHistory.asp?taxnode_id=20171045","ICTVonline=20171045")</f>
        <v>ICTVonline=20171045</v>
      </c>
      <c r="L895" s="3">
        <v>894</v>
      </c>
    </row>
    <row r="896" spans="1:12" x14ac:dyDescent="0.15">
      <c r="A896" s="1" t="s">
        <v>1341</v>
      </c>
      <c r="B896" s="1" t="s">
        <v>904</v>
      </c>
      <c r="D896" s="1" t="s">
        <v>3305</v>
      </c>
      <c r="E896" s="1" t="s">
        <v>3343</v>
      </c>
      <c r="F896" s="3">
        <v>0</v>
      </c>
      <c r="G896" s="8" t="s">
        <v>2771</v>
      </c>
      <c r="H896" s="8" t="s">
        <v>5160</v>
      </c>
      <c r="I896" s="3">
        <v>30</v>
      </c>
      <c r="J896" s="3" t="s">
        <v>5297</v>
      </c>
      <c r="K896" s="17" t="str">
        <f>HYPERLINK("http://ictvonline.org/taxonomyHistory.asp?taxnode_id=20171046","ICTVonline=20171046")</f>
        <v>ICTVonline=20171046</v>
      </c>
      <c r="L896" s="3">
        <v>895</v>
      </c>
    </row>
    <row r="897" spans="1:12" x14ac:dyDescent="0.15">
      <c r="A897" s="1" t="s">
        <v>1341</v>
      </c>
      <c r="B897" s="1" t="s">
        <v>904</v>
      </c>
      <c r="D897" s="1" t="s">
        <v>3305</v>
      </c>
      <c r="E897" s="1" t="s">
        <v>3344</v>
      </c>
      <c r="F897" s="3">
        <v>0</v>
      </c>
      <c r="G897" s="8" t="s">
        <v>2771</v>
      </c>
      <c r="H897" s="8" t="s">
        <v>5160</v>
      </c>
      <c r="I897" s="3">
        <v>30</v>
      </c>
      <c r="J897" s="3" t="s">
        <v>5297</v>
      </c>
      <c r="K897" s="17" t="str">
        <f>HYPERLINK("http://ictvonline.org/taxonomyHistory.asp?taxnode_id=20171047","ICTVonline=20171047")</f>
        <v>ICTVonline=20171047</v>
      </c>
      <c r="L897" s="3">
        <v>896</v>
      </c>
    </row>
    <row r="898" spans="1:12" x14ac:dyDescent="0.15">
      <c r="A898" s="1" t="s">
        <v>1341</v>
      </c>
      <c r="B898" s="1" t="s">
        <v>904</v>
      </c>
      <c r="D898" s="1" t="s">
        <v>3305</v>
      </c>
      <c r="E898" s="1" t="s">
        <v>3345</v>
      </c>
      <c r="F898" s="3">
        <v>0</v>
      </c>
      <c r="G898" s="8" t="s">
        <v>2771</v>
      </c>
      <c r="H898" s="8" t="s">
        <v>5160</v>
      </c>
      <c r="I898" s="3">
        <v>30</v>
      </c>
      <c r="J898" s="3" t="s">
        <v>5297</v>
      </c>
      <c r="K898" s="17" t="str">
        <f>HYPERLINK("http://ictvonline.org/taxonomyHistory.asp?taxnode_id=20171048","ICTVonline=20171048")</f>
        <v>ICTVonline=20171048</v>
      </c>
      <c r="L898" s="3">
        <v>897</v>
      </c>
    </row>
    <row r="899" spans="1:12" x14ac:dyDescent="0.15">
      <c r="A899" s="1" t="s">
        <v>1341</v>
      </c>
      <c r="B899" s="1" t="s">
        <v>904</v>
      </c>
      <c r="D899" s="1" t="s">
        <v>3305</v>
      </c>
      <c r="E899" s="1" t="s">
        <v>3346</v>
      </c>
      <c r="F899" s="3">
        <v>0</v>
      </c>
      <c r="G899" s="8" t="s">
        <v>2771</v>
      </c>
      <c r="H899" s="8" t="s">
        <v>5160</v>
      </c>
      <c r="I899" s="3">
        <v>30</v>
      </c>
      <c r="J899" s="3" t="s">
        <v>5297</v>
      </c>
      <c r="K899" s="17" t="str">
        <f>HYPERLINK("http://ictvonline.org/taxonomyHistory.asp?taxnode_id=20171049","ICTVonline=20171049")</f>
        <v>ICTVonline=20171049</v>
      </c>
      <c r="L899" s="3">
        <v>898</v>
      </c>
    </row>
    <row r="900" spans="1:12" x14ac:dyDescent="0.15">
      <c r="A900" s="1" t="s">
        <v>1341</v>
      </c>
      <c r="B900" s="1" t="s">
        <v>904</v>
      </c>
      <c r="D900" s="1" t="s">
        <v>3305</v>
      </c>
      <c r="E900" s="1" t="s">
        <v>3347</v>
      </c>
      <c r="F900" s="3">
        <v>0</v>
      </c>
      <c r="G900" s="8" t="s">
        <v>2771</v>
      </c>
      <c r="H900" s="8" t="s">
        <v>5160</v>
      </c>
      <c r="I900" s="3">
        <v>30</v>
      </c>
      <c r="J900" s="3" t="s">
        <v>5297</v>
      </c>
      <c r="K900" s="17" t="str">
        <f>HYPERLINK("http://ictvonline.org/taxonomyHistory.asp?taxnode_id=20171050","ICTVonline=20171050")</f>
        <v>ICTVonline=20171050</v>
      </c>
      <c r="L900" s="3">
        <v>899</v>
      </c>
    </row>
    <row r="901" spans="1:12" x14ac:dyDescent="0.15">
      <c r="A901" s="1" t="s">
        <v>1341</v>
      </c>
      <c r="B901" s="1" t="s">
        <v>904</v>
      </c>
      <c r="D901" s="1" t="s">
        <v>3305</v>
      </c>
      <c r="E901" s="1" t="s">
        <v>3348</v>
      </c>
      <c r="F901" s="3">
        <v>0</v>
      </c>
      <c r="G901" s="8" t="s">
        <v>2771</v>
      </c>
      <c r="H901" s="8" t="s">
        <v>5160</v>
      </c>
      <c r="I901" s="3">
        <v>30</v>
      </c>
      <c r="J901" s="3" t="s">
        <v>5297</v>
      </c>
      <c r="K901" s="17" t="str">
        <f>HYPERLINK("http://ictvonline.org/taxonomyHistory.asp?taxnode_id=20171051","ICTVonline=20171051")</f>
        <v>ICTVonline=20171051</v>
      </c>
      <c r="L901" s="3">
        <v>900</v>
      </c>
    </row>
    <row r="902" spans="1:12" x14ac:dyDescent="0.15">
      <c r="A902" s="1" t="s">
        <v>1341</v>
      </c>
      <c r="B902" s="1" t="s">
        <v>904</v>
      </c>
      <c r="D902" s="1" t="s">
        <v>3305</v>
      </c>
      <c r="E902" s="1" t="s">
        <v>3349</v>
      </c>
      <c r="F902" s="3">
        <v>0</v>
      </c>
      <c r="G902" s="8" t="s">
        <v>2771</v>
      </c>
      <c r="H902" s="8" t="s">
        <v>5160</v>
      </c>
      <c r="I902" s="3">
        <v>30</v>
      </c>
      <c r="J902" s="3" t="s">
        <v>5297</v>
      </c>
      <c r="K902" s="17" t="str">
        <f>HYPERLINK("http://ictvonline.org/taxonomyHistory.asp?taxnode_id=20171052","ICTVonline=20171052")</f>
        <v>ICTVonline=20171052</v>
      </c>
      <c r="L902" s="3">
        <v>901</v>
      </c>
    </row>
    <row r="903" spans="1:12" x14ac:dyDescent="0.15">
      <c r="A903" s="1" t="s">
        <v>1341</v>
      </c>
      <c r="B903" s="1" t="s">
        <v>904</v>
      </c>
      <c r="D903" s="1" t="s">
        <v>3305</v>
      </c>
      <c r="E903" s="1" t="s">
        <v>3350</v>
      </c>
      <c r="F903" s="3">
        <v>0</v>
      </c>
      <c r="G903" s="8" t="s">
        <v>2771</v>
      </c>
      <c r="H903" s="8" t="s">
        <v>5160</v>
      </c>
      <c r="I903" s="3">
        <v>30</v>
      </c>
      <c r="J903" s="3" t="s">
        <v>5297</v>
      </c>
      <c r="K903" s="17" t="str">
        <f>HYPERLINK("http://ictvonline.org/taxonomyHistory.asp?taxnode_id=20171053","ICTVonline=20171053")</f>
        <v>ICTVonline=20171053</v>
      </c>
      <c r="L903" s="3">
        <v>902</v>
      </c>
    </row>
    <row r="904" spans="1:12" x14ac:dyDescent="0.15">
      <c r="A904" s="1" t="s">
        <v>1341</v>
      </c>
      <c r="B904" s="1" t="s">
        <v>904</v>
      </c>
      <c r="D904" s="1" t="s">
        <v>3305</v>
      </c>
      <c r="E904" s="1" t="s">
        <v>3351</v>
      </c>
      <c r="F904" s="3">
        <v>0</v>
      </c>
      <c r="G904" s="8" t="s">
        <v>2771</v>
      </c>
      <c r="H904" s="8" t="s">
        <v>5160</v>
      </c>
      <c r="I904" s="3">
        <v>30</v>
      </c>
      <c r="J904" s="3" t="s">
        <v>5297</v>
      </c>
      <c r="K904" s="17" t="str">
        <f>HYPERLINK("http://ictvonline.org/taxonomyHistory.asp?taxnode_id=20171054","ICTVonline=20171054")</f>
        <v>ICTVonline=20171054</v>
      </c>
      <c r="L904" s="3">
        <v>903</v>
      </c>
    </row>
    <row r="905" spans="1:12" x14ac:dyDescent="0.15">
      <c r="A905" s="1" t="s">
        <v>1341</v>
      </c>
      <c r="B905" s="1" t="s">
        <v>904</v>
      </c>
      <c r="D905" s="1" t="s">
        <v>3305</v>
      </c>
      <c r="E905" s="1" t="s">
        <v>3352</v>
      </c>
      <c r="F905" s="3">
        <v>0</v>
      </c>
      <c r="G905" s="8" t="s">
        <v>2771</v>
      </c>
      <c r="H905" s="8" t="s">
        <v>5160</v>
      </c>
      <c r="I905" s="3">
        <v>30</v>
      </c>
      <c r="J905" s="3" t="s">
        <v>5297</v>
      </c>
      <c r="K905" s="17" t="str">
        <f>HYPERLINK("http://ictvonline.org/taxonomyHistory.asp?taxnode_id=20171055","ICTVonline=20171055")</f>
        <v>ICTVonline=20171055</v>
      </c>
      <c r="L905" s="3">
        <v>904</v>
      </c>
    </row>
    <row r="906" spans="1:12" x14ac:dyDescent="0.15">
      <c r="A906" s="1" t="s">
        <v>1341</v>
      </c>
      <c r="B906" s="1" t="s">
        <v>904</v>
      </c>
      <c r="D906" s="1" t="s">
        <v>3305</v>
      </c>
      <c r="E906" s="1" t="s">
        <v>3353</v>
      </c>
      <c r="F906" s="3">
        <v>0</v>
      </c>
      <c r="G906" s="8" t="s">
        <v>2771</v>
      </c>
      <c r="H906" s="8" t="s">
        <v>5160</v>
      </c>
      <c r="I906" s="3">
        <v>30</v>
      </c>
      <c r="J906" s="3" t="s">
        <v>5297</v>
      </c>
      <c r="K906" s="17" t="str">
        <f>HYPERLINK("http://ictvonline.org/taxonomyHistory.asp?taxnode_id=20171056","ICTVonline=20171056")</f>
        <v>ICTVonline=20171056</v>
      </c>
      <c r="L906" s="3">
        <v>905</v>
      </c>
    </row>
    <row r="907" spans="1:12" x14ac:dyDescent="0.15">
      <c r="A907" s="1" t="s">
        <v>1341</v>
      </c>
      <c r="B907" s="1" t="s">
        <v>904</v>
      </c>
      <c r="D907" s="1" t="s">
        <v>3305</v>
      </c>
      <c r="E907" s="1" t="s">
        <v>3354</v>
      </c>
      <c r="F907" s="3">
        <v>0</v>
      </c>
      <c r="G907" s="8" t="s">
        <v>2771</v>
      </c>
      <c r="H907" s="8" t="s">
        <v>5160</v>
      </c>
      <c r="I907" s="3">
        <v>30</v>
      </c>
      <c r="J907" s="3" t="s">
        <v>5297</v>
      </c>
      <c r="K907" s="17" t="str">
        <f>HYPERLINK("http://ictvonline.org/taxonomyHistory.asp?taxnode_id=20171057","ICTVonline=20171057")</f>
        <v>ICTVonline=20171057</v>
      </c>
      <c r="L907" s="3">
        <v>906</v>
      </c>
    </row>
    <row r="908" spans="1:12" x14ac:dyDescent="0.15">
      <c r="A908" s="1" t="s">
        <v>1341</v>
      </c>
      <c r="B908" s="1" t="s">
        <v>904</v>
      </c>
      <c r="D908" s="1" t="s">
        <v>3305</v>
      </c>
      <c r="E908" s="1" t="s">
        <v>3355</v>
      </c>
      <c r="F908" s="3">
        <v>0</v>
      </c>
      <c r="G908" s="8" t="s">
        <v>2771</v>
      </c>
      <c r="H908" s="8" t="s">
        <v>5160</v>
      </c>
      <c r="I908" s="3">
        <v>30</v>
      </c>
      <c r="J908" s="3" t="s">
        <v>5297</v>
      </c>
      <c r="K908" s="17" t="str">
        <f>HYPERLINK("http://ictvonline.org/taxonomyHistory.asp?taxnode_id=20171058","ICTVonline=20171058")</f>
        <v>ICTVonline=20171058</v>
      </c>
      <c r="L908" s="3">
        <v>907</v>
      </c>
    </row>
    <row r="909" spans="1:12" x14ac:dyDescent="0.15">
      <c r="A909" s="1" t="s">
        <v>1341</v>
      </c>
      <c r="B909" s="1" t="s">
        <v>904</v>
      </c>
      <c r="D909" s="1" t="s">
        <v>3305</v>
      </c>
      <c r="E909" s="1" t="s">
        <v>3356</v>
      </c>
      <c r="F909" s="3">
        <v>0</v>
      </c>
      <c r="G909" s="8" t="s">
        <v>2771</v>
      </c>
      <c r="H909" s="8" t="s">
        <v>5160</v>
      </c>
      <c r="I909" s="3">
        <v>30</v>
      </c>
      <c r="J909" s="3" t="s">
        <v>5297</v>
      </c>
      <c r="K909" s="17" t="str">
        <f>HYPERLINK("http://ictvonline.org/taxonomyHistory.asp?taxnode_id=20171059","ICTVonline=20171059")</f>
        <v>ICTVonline=20171059</v>
      </c>
      <c r="L909" s="3">
        <v>908</v>
      </c>
    </row>
    <row r="910" spans="1:12" x14ac:dyDescent="0.15">
      <c r="A910" s="1" t="s">
        <v>1341</v>
      </c>
      <c r="B910" s="1" t="s">
        <v>904</v>
      </c>
      <c r="D910" s="1" t="s">
        <v>3305</v>
      </c>
      <c r="E910" s="1" t="s">
        <v>3357</v>
      </c>
      <c r="F910" s="3">
        <v>0</v>
      </c>
      <c r="G910" s="8" t="s">
        <v>2771</v>
      </c>
      <c r="H910" s="8" t="s">
        <v>5160</v>
      </c>
      <c r="I910" s="3">
        <v>30</v>
      </c>
      <c r="J910" s="3" t="s">
        <v>5297</v>
      </c>
      <c r="K910" s="17" t="str">
        <f>HYPERLINK("http://ictvonline.org/taxonomyHistory.asp?taxnode_id=20171060","ICTVonline=20171060")</f>
        <v>ICTVonline=20171060</v>
      </c>
      <c r="L910" s="3">
        <v>909</v>
      </c>
    </row>
    <row r="911" spans="1:12" x14ac:dyDescent="0.15">
      <c r="A911" s="1" t="s">
        <v>1341</v>
      </c>
      <c r="B911" s="1" t="s">
        <v>904</v>
      </c>
      <c r="D911" s="1" t="s">
        <v>3305</v>
      </c>
      <c r="E911" s="1" t="s">
        <v>3358</v>
      </c>
      <c r="F911" s="3">
        <v>0</v>
      </c>
      <c r="G911" s="8" t="s">
        <v>2771</v>
      </c>
      <c r="H911" s="8" t="s">
        <v>5160</v>
      </c>
      <c r="I911" s="3">
        <v>30</v>
      </c>
      <c r="J911" s="3" t="s">
        <v>5297</v>
      </c>
      <c r="K911" s="17" t="str">
        <f>HYPERLINK("http://ictvonline.org/taxonomyHistory.asp?taxnode_id=20171061","ICTVonline=20171061")</f>
        <v>ICTVonline=20171061</v>
      </c>
      <c r="L911" s="3">
        <v>910</v>
      </c>
    </row>
    <row r="912" spans="1:12" x14ac:dyDescent="0.15">
      <c r="A912" s="1" t="s">
        <v>1341</v>
      </c>
      <c r="B912" s="1" t="s">
        <v>904</v>
      </c>
      <c r="D912" s="1" t="s">
        <v>3305</v>
      </c>
      <c r="E912" s="1" t="s">
        <v>3359</v>
      </c>
      <c r="F912" s="3">
        <v>0</v>
      </c>
      <c r="G912" s="8" t="s">
        <v>2771</v>
      </c>
      <c r="H912" s="8" t="s">
        <v>5160</v>
      </c>
      <c r="I912" s="3">
        <v>30</v>
      </c>
      <c r="J912" s="3" t="s">
        <v>5297</v>
      </c>
      <c r="K912" s="17" t="str">
        <f>HYPERLINK("http://ictvonline.org/taxonomyHistory.asp?taxnode_id=20171062","ICTVonline=20171062")</f>
        <v>ICTVonline=20171062</v>
      </c>
      <c r="L912" s="3">
        <v>911</v>
      </c>
    </row>
    <row r="913" spans="1:12" x14ac:dyDescent="0.15">
      <c r="A913" s="1" t="s">
        <v>1341</v>
      </c>
      <c r="B913" s="1" t="s">
        <v>904</v>
      </c>
      <c r="D913" s="1" t="s">
        <v>3305</v>
      </c>
      <c r="E913" s="1" t="s">
        <v>3360</v>
      </c>
      <c r="F913" s="3">
        <v>0</v>
      </c>
      <c r="G913" s="8" t="s">
        <v>2771</v>
      </c>
      <c r="H913" s="8" t="s">
        <v>5160</v>
      </c>
      <c r="I913" s="3">
        <v>30</v>
      </c>
      <c r="J913" s="3" t="s">
        <v>5297</v>
      </c>
      <c r="K913" s="17" t="str">
        <f>HYPERLINK("http://ictvonline.org/taxonomyHistory.asp?taxnode_id=20171063","ICTVonline=20171063")</f>
        <v>ICTVonline=20171063</v>
      </c>
      <c r="L913" s="3">
        <v>912</v>
      </c>
    </row>
    <row r="914" spans="1:12" x14ac:dyDescent="0.15">
      <c r="A914" s="1" t="s">
        <v>1341</v>
      </c>
      <c r="B914" s="1" t="s">
        <v>904</v>
      </c>
      <c r="D914" s="1" t="s">
        <v>3305</v>
      </c>
      <c r="E914" s="1" t="s">
        <v>3361</v>
      </c>
      <c r="F914" s="3">
        <v>0</v>
      </c>
      <c r="G914" s="8" t="s">
        <v>2771</v>
      </c>
      <c r="H914" s="8" t="s">
        <v>5160</v>
      </c>
      <c r="I914" s="3">
        <v>30</v>
      </c>
      <c r="J914" s="3" t="s">
        <v>5297</v>
      </c>
      <c r="K914" s="17" t="str">
        <f>HYPERLINK("http://ictvonline.org/taxonomyHistory.asp?taxnode_id=20171064","ICTVonline=20171064")</f>
        <v>ICTVonline=20171064</v>
      </c>
      <c r="L914" s="3">
        <v>913</v>
      </c>
    </row>
    <row r="915" spans="1:12" x14ac:dyDescent="0.15">
      <c r="A915" s="1" t="s">
        <v>1341</v>
      </c>
      <c r="B915" s="1" t="s">
        <v>904</v>
      </c>
      <c r="D915" s="1" t="s">
        <v>3305</v>
      </c>
      <c r="E915" s="1" t="s">
        <v>3362</v>
      </c>
      <c r="F915" s="3">
        <v>0</v>
      </c>
      <c r="G915" s="8" t="s">
        <v>2771</v>
      </c>
      <c r="H915" s="8" t="s">
        <v>5160</v>
      </c>
      <c r="I915" s="3">
        <v>30</v>
      </c>
      <c r="J915" s="3" t="s">
        <v>5297</v>
      </c>
      <c r="K915" s="17" t="str">
        <f>HYPERLINK("http://ictvonline.org/taxonomyHistory.asp?taxnode_id=20171065","ICTVonline=20171065")</f>
        <v>ICTVonline=20171065</v>
      </c>
      <c r="L915" s="3">
        <v>914</v>
      </c>
    </row>
    <row r="916" spans="1:12" x14ac:dyDescent="0.15">
      <c r="A916" s="1" t="s">
        <v>1341</v>
      </c>
      <c r="B916" s="1" t="s">
        <v>904</v>
      </c>
      <c r="D916" s="1" t="s">
        <v>3305</v>
      </c>
      <c r="E916" s="1" t="s">
        <v>3363</v>
      </c>
      <c r="F916" s="3">
        <v>0</v>
      </c>
      <c r="G916" s="8" t="s">
        <v>2771</v>
      </c>
      <c r="H916" s="8" t="s">
        <v>5160</v>
      </c>
      <c r="I916" s="3">
        <v>30</v>
      </c>
      <c r="J916" s="3" t="s">
        <v>5297</v>
      </c>
      <c r="K916" s="17" t="str">
        <f>HYPERLINK("http://ictvonline.org/taxonomyHistory.asp?taxnode_id=20171066","ICTVonline=20171066")</f>
        <v>ICTVonline=20171066</v>
      </c>
      <c r="L916" s="3">
        <v>915</v>
      </c>
    </row>
    <row r="917" spans="1:12" x14ac:dyDescent="0.15">
      <c r="A917" s="1" t="s">
        <v>1341</v>
      </c>
      <c r="B917" s="1" t="s">
        <v>904</v>
      </c>
      <c r="D917" s="1" t="s">
        <v>3305</v>
      </c>
      <c r="E917" s="1" t="s">
        <v>3364</v>
      </c>
      <c r="F917" s="3">
        <v>0</v>
      </c>
      <c r="G917" s="8" t="s">
        <v>2771</v>
      </c>
      <c r="H917" s="8" t="s">
        <v>5160</v>
      </c>
      <c r="I917" s="3">
        <v>30</v>
      </c>
      <c r="J917" s="3" t="s">
        <v>5297</v>
      </c>
      <c r="K917" s="17" t="str">
        <f>HYPERLINK("http://ictvonline.org/taxonomyHistory.asp?taxnode_id=20171067","ICTVonline=20171067")</f>
        <v>ICTVonline=20171067</v>
      </c>
      <c r="L917" s="3">
        <v>916</v>
      </c>
    </row>
    <row r="918" spans="1:12" x14ac:dyDescent="0.15">
      <c r="A918" s="1" t="s">
        <v>1341</v>
      </c>
      <c r="B918" s="1" t="s">
        <v>904</v>
      </c>
      <c r="D918" s="1" t="s">
        <v>3305</v>
      </c>
      <c r="E918" s="1" t="s">
        <v>3365</v>
      </c>
      <c r="F918" s="3">
        <v>0</v>
      </c>
      <c r="G918" s="8" t="s">
        <v>2771</v>
      </c>
      <c r="H918" s="8" t="s">
        <v>5160</v>
      </c>
      <c r="I918" s="3">
        <v>30</v>
      </c>
      <c r="J918" s="3" t="s">
        <v>5297</v>
      </c>
      <c r="K918" s="17" t="str">
        <f>HYPERLINK("http://ictvonline.org/taxonomyHistory.asp?taxnode_id=20171068","ICTVonline=20171068")</f>
        <v>ICTVonline=20171068</v>
      </c>
      <c r="L918" s="3">
        <v>917</v>
      </c>
    </row>
    <row r="919" spans="1:12" x14ac:dyDescent="0.15">
      <c r="A919" s="1" t="s">
        <v>1341</v>
      </c>
      <c r="B919" s="1" t="s">
        <v>904</v>
      </c>
      <c r="D919" s="1" t="s">
        <v>3368</v>
      </c>
      <c r="E919" s="1" t="s">
        <v>5483</v>
      </c>
      <c r="F919" s="3">
        <v>0</v>
      </c>
      <c r="G919" s="8" t="s">
        <v>2771</v>
      </c>
      <c r="H919" s="8" t="s">
        <v>5159</v>
      </c>
      <c r="I919" s="3">
        <v>32</v>
      </c>
      <c r="J919" s="3" t="s">
        <v>5484</v>
      </c>
      <c r="K919" s="17" t="str">
        <f>HYPERLINK("http://ictvonline.org/taxonomyHistory.asp?taxnode_id=20175558","ICTVonline=20175558")</f>
        <v>ICTVonline=20175558</v>
      </c>
      <c r="L919" s="3">
        <v>918</v>
      </c>
    </row>
    <row r="920" spans="1:12" x14ac:dyDescent="0.15">
      <c r="A920" s="1" t="s">
        <v>1341</v>
      </c>
      <c r="B920" s="1" t="s">
        <v>904</v>
      </c>
      <c r="D920" s="1" t="s">
        <v>3368</v>
      </c>
      <c r="E920" s="1" t="s">
        <v>5485</v>
      </c>
      <c r="F920" s="3">
        <v>0</v>
      </c>
      <c r="G920" s="8" t="s">
        <v>2771</v>
      </c>
      <c r="H920" s="8" t="s">
        <v>5159</v>
      </c>
      <c r="I920" s="3">
        <v>32</v>
      </c>
      <c r="J920" s="3" t="s">
        <v>5484</v>
      </c>
      <c r="K920" s="17" t="str">
        <f>HYPERLINK("http://ictvonline.org/taxonomyHistory.asp?taxnode_id=20175559","ICTVonline=20175559")</f>
        <v>ICTVonline=20175559</v>
      </c>
      <c r="L920" s="3">
        <v>919</v>
      </c>
    </row>
    <row r="921" spans="1:12" x14ac:dyDescent="0.15">
      <c r="A921" s="1" t="s">
        <v>1341</v>
      </c>
      <c r="B921" s="1" t="s">
        <v>904</v>
      </c>
      <c r="D921" s="1" t="s">
        <v>3368</v>
      </c>
      <c r="E921" s="1" t="s">
        <v>5486</v>
      </c>
      <c r="F921" s="3">
        <v>0</v>
      </c>
      <c r="G921" s="8" t="s">
        <v>2771</v>
      </c>
      <c r="H921" s="8" t="s">
        <v>5159</v>
      </c>
      <c r="I921" s="3">
        <v>32</v>
      </c>
      <c r="J921" s="3" t="s">
        <v>5484</v>
      </c>
      <c r="K921" s="17" t="str">
        <f>HYPERLINK("http://ictvonline.org/taxonomyHistory.asp?taxnode_id=20175560","ICTVonline=20175560")</f>
        <v>ICTVonline=20175560</v>
      </c>
      <c r="L921" s="3">
        <v>920</v>
      </c>
    </row>
    <row r="922" spans="1:12" x14ac:dyDescent="0.15">
      <c r="A922" s="1" t="s">
        <v>1341</v>
      </c>
      <c r="B922" s="1" t="s">
        <v>904</v>
      </c>
      <c r="D922" s="1" t="s">
        <v>3368</v>
      </c>
      <c r="E922" s="1" t="s">
        <v>3371</v>
      </c>
      <c r="F922" s="3">
        <v>1</v>
      </c>
      <c r="G922" s="8" t="s">
        <v>2771</v>
      </c>
      <c r="H922" s="8" t="s">
        <v>5160</v>
      </c>
      <c r="I922" s="3">
        <v>30</v>
      </c>
      <c r="J922" s="3" t="s">
        <v>5297</v>
      </c>
      <c r="K922" s="17" t="str">
        <f>HYPERLINK("http://ictvonline.org/taxonomyHistory.asp?taxnode_id=20171072","ICTVonline=20171072")</f>
        <v>ICTVonline=20171072</v>
      </c>
      <c r="L922" s="3">
        <v>921</v>
      </c>
    </row>
    <row r="923" spans="1:12" x14ac:dyDescent="0.15">
      <c r="A923" s="1" t="s">
        <v>1341</v>
      </c>
      <c r="B923" s="1" t="s">
        <v>904</v>
      </c>
      <c r="D923" s="1" t="s">
        <v>4608</v>
      </c>
      <c r="E923" s="1" t="s">
        <v>4609</v>
      </c>
      <c r="F923" s="3">
        <v>1</v>
      </c>
      <c r="G923" s="8" t="s">
        <v>2771</v>
      </c>
      <c r="H923" s="8" t="s">
        <v>5159</v>
      </c>
      <c r="I923" s="3">
        <v>31</v>
      </c>
      <c r="J923" s="3" t="s">
        <v>5487</v>
      </c>
      <c r="K923" s="17" t="str">
        <f>HYPERLINK("http://ictvonline.org/taxonomyHistory.asp?taxnode_id=20171074","ICTVonline=20171074")</f>
        <v>ICTVonline=20171074</v>
      </c>
      <c r="L923" s="3">
        <v>922</v>
      </c>
    </row>
    <row r="924" spans="1:12" x14ac:dyDescent="0.15">
      <c r="A924" s="1" t="s">
        <v>1341</v>
      </c>
      <c r="B924" s="1" t="s">
        <v>904</v>
      </c>
      <c r="D924" s="1" t="s">
        <v>3372</v>
      </c>
      <c r="E924" s="1" t="s">
        <v>3373</v>
      </c>
      <c r="F924" s="3">
        <v>1</v>
      </c>
      <c r="G924" s="8" t="s">
        <v>2771</v>
      </c>
      <c r="H924" s="8" t="s">
        <v>5160</v>
      </c>
      <c r="I924" s="3">
        <v>30</v>
      </c>
      <c r="J924" s="3" t="s">
        <v>5297</v>
      </c>
      <c r="K924" s="17" t="str">
        <f>HYPERLINK("http://ictvonline.org/taxonomyHistory.asp?taxnode_id=20171076","ICTVonline=20171076")</f>
        <v>ICTVonline=20171076</v>
      </c>
      <c r="L924" s="3">
        <v>923</v>
      </c>
    </row>
    <row r="925" spans="1:12" x14ac:dyDescent="0.15">
      <c r="A925" s="1" t="s">
        <v>1341</v>
      </c>
      <c r="B925" s="1" t="s">
        <v>904</v>
      </c>
      <c r="D925" s="1" t="s">
        <v>3372</v>
      </c>
      <c r="E925" s="1" t="s">
        <v>3374</v>
      </c>
      <c r="F925" s="3">
        <v>0</v>
      </c>
      <c r="G925" s="8" t="s">
        <v>2771</v>
      </c>
      <c r="H925" s="8" t="s">
        <v>5160</v>
      </c>
      <c r="I925" s="3">
        <v>30</v>
      </c>
      <c r="J925" s="3" t="s">
        <v>5297</v>
      </c>
      <c r="K925" s="17" t="str">
        <f>HYPERLINK("http://ictvonline.org/taxonomyHistory.asp?taxnode_id=20171077","ICTVonline=20171077")</f>
        <v>ICTVonline=20171077</v>
      </c>
      <c r="L925" s="3">
        <v>924</v>
      </c>
    </row>
    <row r="926" spans="1:12" x14ac:dyDescent="0.15">
      <c r="A926" s="1" t="s">
        <v>1341</v>
      </c>
      <c r="B926" s="1" t="s">
        <v>904</v>
      </c>
      <c r="D926" s="1" t="s">
        <v>4610</v>
      </c>
      <c r="E926" s="1" t="s">
        <v>4611</v>
      </c>
      <c r="F926" s="3">
        <v>1</v>
      </c>
      <c r="G926" s="8" t="s">
        <v>2771</v>
      </c>
      <c r="H926" s="8" t="s">
        <v>5159</v>
      </c>
      <c r="I926" s="3">
        <v>31</v>
      </c>
      <c r="J926" s="3" t="s">
        <v>5488</v>
      </c>
      <c r="K926" s="17" t="str">
        <f>HYPERLINK("http://ictvonline.org/taxonomyHistory.asp?taxnode_id=20171079","ICTVonline=20171079")</f>
        <v>ICTVonline=20171079</v>
      </c>
      <c r="L926" s="3">
        <v>925</v>
      </c>
    </row>
    <row r="927" spans="1:12" x14ac:dyDescent="0.15">
      <c r="A927" s="1" t="s">
        <v>1341</v>
      </c>
      <c r="B927" s="1" t="s">
        <v>904</v>
      </c>
      <c r="D927" s="1" t="s">
        <v>4610</v>
      </c>
      <c r="E927" s="1" t="s">
        <v>4612</v>
      </c>
      <c r="F927" s="3">
        <v>0</v>
      </c>
      <c r="G927" s="8" t="s">
        <v>2771</v>
      </c>
      <c r="H927" s="8" t="s">
        <v>5159</v>
      </c>
      <c r="I927" s="3">
        <v>31</v>
      </c>
      <c r="J927" s="3" t="s">
        <v>5488</v>
      </c>
      <c r="K927" s="17" t="str">
        <f>HYPERLINK("http://ictvonline.org/taxonomyHistory.asp?taxnode_id=20171080","ICTVonline=20171080")</f>
        <v>ICTVonline=20171080</v>
      </c>
      <c r="L927" s="3">
        <v>926</v>
      </c>
    </row>
    <row r="928" spans="1:12" x14ac:dyDescent="0.15">
      <c r="A928" s="1" t="s">
        <v>1341</v>
      </c>
      <c r="B928" s="1" t="s">
        <v>904</v>
      </c>
      <c r="D928" s="1" t="s">
        <v>4613</v>
      </c>
      <c r="E928" s="1" t="s">
        <v>4614</v>
      </c>
      <c r="F928" s="3">
        <v>0</v>
      </c>
      <c r="G928" s="8" t="s">
        <v>2771</v>
      </c>
      <c r="H928" s="8" t="s">
        <v>5159</v>
      </c>
      <c r="I928" s="3">
        <v>31</v>
      </c>
      <c r="J928" s="3" t="s">
        <v>5489</v>
      </c>
      <c r="K928" s="17" t="str">
        <f>HYPERLINK("http://ictvonline.org/taxonomyHistory.asp?taxnode_id=20171082","ICTVonline=20171082")</f>
        <v>ICTVonline=20171082</v>
      </c>
      <c r="L928" s="3">
        <v>927</v>
      </c>
    </row>
    <row r="929" spans="1:12" x14ac:dyDescent="0.15">
      <c r="A929" s="1" t="s">
        <v>1341</v>
      </c>
      <c r="B929" s="1" t="s">
        <v>904</v>
      </c>
      <c r="D929" s="1" t="s">
        <v>4613</v>
      </c>
      <c r="E929" s="1" t="s">
        <v>4615</v>
      </c>
      <c r="F929" s="3">
        <v>1</v>
      </c>
      <c r="G929" s="8" t="s">
        <v>2771</v>
      </c>
      <c r="H929" s="8" t="s">
        <v>5159</v>
      </c>
      <c r="I929" s="3">
        <v>31</v>
      </c>
      <c r="J929" s="3" t="s">
        <v>5489</v>
      </c>
      <c r="K929" s="17" t="str">
        <f>HYPERLINK("http://ictvonline.org/taxonomyHistory.asp?taxnode_id=20171083","ICTVonline=20171083")</f>
        <v>ICTVonline=20171083</v>
      </c>
      <c r="L929" s="3">
        <v>928</v>
      </c>
    </row>
    <row r="930" spans="1:12" x14ac:dyDescent="0.15">
      <c r="A930" s="1" t="s">
        <v>1341</v>
      </c>
      <c r="B930" s="1" t="s">
        <v>904</v>
      </c>
      <c r="D930" s="1" t="s">
        <v>3375</v>
      </c>
      <c r="E930" s="1" t="s">
        <v>3376</v>
      </c>
      <c r="F930" s="3">
        <v>1</v>
      </c>
      <c r="G930" s="8" t="s">
        <v>2771</v>
      </c>
      <c r="H930" s="8" t="s">
        <v>5160</v>
      </c>
      <c r="I930" s="3">
        <v>30</v>
      </c>
      <c r="J930" s="3" t="s">
        <v>5297</v>
      </c>
      <c r="K930" s="17" t="str">
        <f>HYPERLINK("http://ictvonline.org/taxonomyHistory.asp?taxnode_id=20171085","ICTVonline=20171085")</f>
        <v>ICTVonline=20171085</v>
      </c>
      <c r="L930" s="3">
        <v>929</v>
      </c>
    </row>
    <row r="931" spans="1:12" x14ac:dyDescent="0.15">
      <c r="A931" s="1" t="s">
        <v>1341</v>
      </c>
      <c r="B931" s="1" t="s">
        <v>904</v>
      </c>
      <c r="D931" s="1" t="s">
        <v>3377</v>
      </c>
      <c r="E931" s="1" t="s">
        <v>3378</v>
      </c>
      <c r="F931" s="3">
        <v>1</v>
      </c>
      <c r="G931" s="8" t="s">
        <v>2771</v>
      </c>
      <c r="H931" s="8" t="s">
        <v>5159</v>
      </c>
      <c r="I931" s="3">
        <v>30</v>
      </c>
      <c r="J931" s="3" t="s">
        <v>5490</v>
      </c>
      <c r="K931" s="17" t="str">
        <f>HYPERLINK("http://ictvonline.org/taxonomyHistory.asp?taxnode_id=20171087","ICTVonline=20171087")</f>
        <v>ICTVonline=20171087</v>
      </c>
      <c r="L931" s="3">
        <v>930</v>
      </c>
    </row>
    <row r="932" spans="1:12" x14ac:dyDescent="0.15">
      <c r="A932" s="1" t="s">
        <v>1341</v>
      </c>
      <c r="B932" s="1" t="s">
        <v>904</v>
      </c>
      <c r="D932" s="1" t="s">
        <v>3377</v>
      </c>
      <c r="E932" s="1" t="s">
        <v>3379</v>
      </c>
      <c r="F932" s="3">
        <v>0</v>
      </c>
      <c r="G932" s="8" t="s">
        <v>2771</v>
      </c>
      <c r="H932" s="8" t="s">
        <v>5159</v>
      </c>
      <c r="I932" s="3">
        <v>30</v>
      </c>
      <c r="J932" s="3" t="s">
        <v>5490</v>
      </c>
      <c r="K932" s="17" t="str">
        <f>HYPERLINK("http://ictvonline.org/taxonomyHistory.asp?taxnode_id=20171088","ICTVonline=20171088")</f>
        <v>ICTVonline=20171088</v>
      </c>
      <c r="L932" s="3">
        <v>931</v>
      </c>
    </row>
    <row r="933" spans="1:12" x14ac:dyDescent="0.15">
      <c r="A933" s="1" t="s">
        <v>1341</v>
      </c>
      <c r="B933" s="1" t="s">
        <v>904</v>
      </c>
      <c r="D933" s="1" t="s">
        <v>3377</v>
      </c>
      <c r="E933" s="1" t="s">
        <v>3380</v>
      </c>
      <c r="F933" s="3">
        <v>0</v>
      </c>
      <c r="G933" s="8" t="s">
        <v>2771</v>
      </c>
      <c r="H933" s="8" t="s">
        <v>5159</v>
      </c>
      <c r="I933" s="3">
        <v>30</v>
      </c>
      <c r="J933" s="3" t="s">
        <v>5490</v>
      </c>
      <c r="K933" s="17" t="str">
        <f>HYPERLINK("http://ictvonline.org/taxonomyHistory.asp?taxnode_id=20171089","ICTVonline=20171089")</f>
        <v>ICTVonline=20171089</v>
      </c>
      <c r="L933" s="3">
        <v>932</v>
      </c>
    </row>
    <row r="934" spans="1:12" x14ac:dyDescent="0.15">
      <c r="A934" s="1" t="s">
        <v>1341</v>
      </c>
      <c r="B934" s="1" t="s">
        <v>904</v>
      </c>
      <c r="D934" s="1" t="s">
        <v>3377</v>
      </c>
      <c r="E934" s="1" t="s">
        <v>3381</v>
      </c>
      <c r="F934" s="3">
        <v>0</v>
      </c>
      <c r="G934" s="8" t="s">
        <v>2771</v>
      </c>
      <c r="H934" s="8" t="s">
        <v>5159</v>
      </c>
      <c r="I934" s="3">
        <v>30</v>
      </c>
      <c r="J934" s="3" t="s">
        <v>5490</v>
      </c>
      <c r="K934" s="17" t="str">
        <f>HYPERLINK("http://ictvonline.org/taxonomyHistory.asp?taxnode_id=20171090","ICTVonline=20171090")</f>
        <v>ICTVonline=20171090</v>
      </c>
      <c r="L934" s="3">
        <v>933</v>
      </c>
    </row>
    <row r="935" spans="1:12" x14ac:dyDescent="0.15">
      <c r="A935" s="1" t="s">
        <v>1341</v>
      </c>
      <c r="B935" s="1" t="s">
        <v>904</v>
      </c>
      <c r="D935" s="1" t="s">
        <v>4616</v>
      </c>
      <c r="E935" s="1" t="s">
        <v>4617</v>
      </c>
      <c r="F935" s="3">
        <v>1</v>
      </c>
      <c r="G935" s="8" t="s">
        <v>2771</v>
      </c>
      <c r="H935" s="8" t="s">
        <v>5159</v>
      </c>
      <c r="I935" s="3">
        <v>31</v>
      </c>
      <c r="J935" s="3" t="s">
        <v>5491</v>
      </c>
      <c r="K935" s="17" t="str">
        <f>HYPERLINK("http://ictvonline.org/taxonomyHistory.asp?taxnode_id=20171092","ICTVonline=20171092")</f>
        <v>ICTVonline=20171092</v>
      </c>
      <c r="L935" s="3">
        <v>934</v>
      </c>
    </row>
    <row r="936" spans="1:12" x14ac:dyDescent="0.15">
      <c r="A936" s="1" t="s">
        <v>1341</v>
      </c>
      <c r="B936" s="1" t="s">
        <v>904</v>
      </c>
      <c r="D936" s="1" t="s">
        <v>4616</v>
      </c>
      <c r="E936" s="1" t="s">
        <v>4618</v>
      </c>
      <c r="F936" s="3">
        <v>0</v>
      </c>
      <c r="G936" s="8" t="s">
        <v>2771</v>
      </c>
      <c r="H936" s="8" t="s">
        <v>5159</v>
      </c>
      <c r="I936" s="3">
        <v>31</v>
      </c>
      <c r="J936" s="3" t="s">
        <v>5491</v>
      </c>
      <c r="K936" s="17" t="str">
        <f>HYPERLINK("http://ictvonline.org/taxonomyHistory.asp?taxnode_id=20171093","ICTVonline=20171093")</f>
        <v>ICTVonline=20171093</v>
      </c>
      <c r="L936" s="3">
        <v>935</v>
      </c>
    </row>
    <row r="937" spans="1:12" x14ac:dyDescent="0.15">
      <c r="A937" s="1" t="s">
        <v>1341</v>
      </c>
      <c r="B937" s="1" t="s">
        <v>904</v>
      </c>
      <c r="D937" s="1" t="s">
        <v>3382</v>
      </c>
      <c r="E937" s="1" t="s">
        <v>3383</v>
      </c>
      <c r="F937" s="3">
        <v>0</v>
      </c>
      <c r="G937" s="8" t="s">
        <v>2771</v>
      </c>
      <c r="H937" s="8" t="s">
        <v>5160</v>
      </c>
      <c r="I937" s="3">
        <v>30</v>
      </c>
      <c r="J937" s="3" t="s">
        <v>5297</v>
      </c>
      <c r="K937" s="17" t="str">
        <f>HYPERLINK("http://ictvonline.org/taxonomyHistory.asp?taxnode_id=20171095","ICTVonline=20171095")</f>
        <v>ICTVonline=20171095</v>
      </c>
      <c r="L937" s="3">
        <v>936</v>
      </c>
    </row>
    <row r="938" spans="1:12" x14ac:dyDescent="0.15">
      <c r="A938" s="1" t="s">
        <v>1341</v>
      </c>
      <c r="B938" s="1" t="s">
        <v>904</v>
      </c>
      <c r="D938" s="1" t="s">
        <v>3382</v>
      </c>
      <c r="E938" s="1" t="s">
        <v>3384</v>
      </c>
      <c r="F938" s="3">
        <v>0</v>
      </c>
      <c r="G938" s="8" t="s">
        <v>2771</v>
      </c>
      <c r="H938" s="8" t="s">
        <v>5160</v>
      </c>
      <c r="I938" s="3">
        <v>30</v>
      </c>
      <c r="J938" s="3" t="s">
        <v>5297</v>
      </c>
      <c r="K938" s="17" t="str">
        <f>HYPERLINK("http://ictvonline.org/taxonomyHistory.asp?taxnode_id=20171096","ICTVonline=20171096")</f>
        <v>ICTVonline=20171096</v>
      </c>
      <c r="L938" s="3">
        <v>937</v>
      </c>
    </row>
    <row r="939" spans="1:12" x14ac:dyDescent="0.15">
      <c r="A939" s="1" t="s">
        <v>1341</v>
      </c>
      <c r="B939" s="1" t="s">
        <v>904</v>
      </c>
      <c r="D939" s="1" t="s">
        <v>3382</v>
      </c>
      <c r="E939" s="1" t="s">
        <v>3385</v>
      </c>
      <c r="F939" s="3">
        <v>0</v>
      </c>
      <c r="G939" s="8" t="s">
        <v>2771</v>
      </c>
      <c r="H939" s="8" t="s">
        <v>5160</v>
      </c>
      <c r="I939" s="3">
        <v>30</v>
      </c>
      <c r="J939" s="3" t="s">
        <v>5297</v>
      </c>
      <c r="K939" s="17" t="str">
        <f>HYPERLINK("http://ictvonline.org/taxonomyHistory.asp?taxnode_id=20171097","ICTVonline=20171097")</f>
        <v>ICTVonline=20171097</v>
      </c>
      <c r="L939" s="3">
        <v>938</v>
      </c>
    </row>
    <row r="940" spans="1:12" x14ac:dyDescent="0.15">
      <c r="A940" s="1" t="s">
        <v>1341</v>
      </c>
      <c r="B940" s="1" t="s">
        <v>904</v>
      </c>
      <c r="D940" s="1" t="s">
        <v>3382</v>
      </c>
      <c r="E940" s="1" t="s">
        <v>3386</v>
      </c>
      <c r="F940" s="3">
        <v>1</v>
      </c>
      <c r="G940" s="8" t="s">
        <v>2771</v>
      </c>
      <c r="H940" s="8" t="s">
        <v>5160</v>
      </c>
      <c r="I940" s="3">
        <v>30</v>
      </c>
      <c r="J940" s="3" t="s">
        <v>5297</v>
      </c>
      <c r="K940" s="17" t="str">
        <f>HYPERLINK("http://ictvonline.org/taxonomyHistory.asp?taxnode_id=20171098","ICTVonline=20171098")</f>
        <v>ICTVonline=20171098</v>
      </c>
      <c r="L940" s="3">
        <v>939</v>
      </c>
    </row>
    <row r="941" spans="1:12" x14ac:dyDescent="0.15">
      <c r="A941" s="1" t="s">
        <v>1341</v>
      </c>
      <c r="B941" s="1" t="s">
        <v>904</v>
      </c>
      <c r="D941" s="1" t="s">
        <v>3382</v>
      </c>
      <c r="E941" s="1" t="s">
        <v>3387</v>
      </c>
      <c r="F941" s="3">
        <v>0</v>
      </c>
      <c r="G941" s="8" t="s">
        <v>2771</v>
      </c>
      <c r="H941" s="8" t="s">
        <v>5160</v>
      </c>
      <c r="I941" s="3">
        <v>30</v>
      </c>
      <c r="J941" s="3" t="s">
        <v>5297</v>
      </c>
      <c r="K941" s="17" t="str">
        <f>HYPERLINK("http://ictvonline.org/taxonomyHistory.asp?taxnode_id=20171099","ICTVonline=20171099")</f>
        <v>ICTVonline=20171099</v>
      </c>
      <c r="L941" s="3">
        <v>940</v>
      </c>
    </row>
    <row r="942" spans="1:12" x14ac:dyDescent="0.15">
      <c r="A942" s="1" t="s">
        <v>1341</v>
      </c>
      <c r="B942" s="1" t="s">
        <v>904</v>
      </c>
      <c r="D942" s="1" t="s">
        <v>3382</v>
      </c>
      <c r="E942" s="1" t="s">
        <v>3388</v>
      </c>
      <c r="F942" s="3">
        <v>0</v>
      </c>
      <c r="G942" s="8" t="s">
        <v>2771</v>
      </c>
      <c r="H942" s="8" t="s">
        <v>5160</v>
      </c>
      <c r="I942" s="3">
        <v>30</v>
      </c>
      <c r="J942" s="3" t="s">
        <v>5297</v>
      </c>
      <c r="K942" s="17" t="str">
        <f>HYPERLINK("http://ictvonline.org/taxonomyHistory.asp?taxnode_id=20171100","ICTVonline=20171100")</f>
        <v>ICTVonline=20171100</v>
      </c>
      <c r="L942" s="3">
        <v>941</v>
      </c>
    </row>
    <row r="943" spans="1:12" x14ac:dyDescent="0.15">
      <c r="A943" s="1" t="s">
        <v>1341</v>
      </c>
      <c r="B943" s="1" t="s">
        <v>904</v>
      </c>
      <c r="D943" s="1" t="s">
        <v>4619</v>
      </c>
      <c r="E943" s="1" t="s">
        <v>4620</v>
      </c>
      <c r="F943" s="3">
        <v>1</v>
      </c>
      <c r="G943" s="8" t="s">
        <v>2771</v>
      </c>
      <c r="H943" s="8" t="s">
        <v>5159</v>
      </c>
      <c r="I943" s="3">
        <v>31</v>
      </c>
      <c r="J943" s="3" t="s">
        <v>5492</v>
      </c>
      <c r="K943" s="17" t="str">
        <f>HYPERLINK("http://ictvonline.org/taxonomyHistory.asp?taxnode_id=20171102","ICTVonline=20171102")</f>
        <v>ICTVonline=20171102</v>
      </c>
      <c r="L943" s="3">
        <v>942</v>
      </c>
    </row>
    <row r="944" spans="1:12" x14ac:dyDescent="0.15">
      <c r="A944" s="1" t="s">
        <v>1341</v>
      </c>
      <c r="B944" s="1" t="s">
        <v>904</v>
      </c>
      <c r="D944" s="1" t="s">
        <v>4619</v>
      </c>
      <c r="E944" s="1" t="s">
        <v>4621</v>
      </c>
      <c r="F944" s="3">
        <v>0</v>
      </c>
      <c r="G944" s="8" t="s">
        <v>2771</v>
      </c>
      <c r="H944" s="8" t="s">
        <v>5159</v>
      </c>
      <c r="I944" s="3">
        <v>31</v>
      </c>
      <c r="J944" s="3" t="s">
        <v>5492</v>
      </c>
      <c r="K944" s="17" t="str">
        <f>HYPERLINK("http://ictvonline.org/taxonomyHistory.asp?taxnode_id=20171103","ICTVonline=20171103")</f>
        <v>ICTVonline=20171103</v>
      </c>
      <c r="L944" s="3">
        <v>943</v>
      </c>
    </row>
    <row r="945" spans="1:12" x14ac:dyDescent="0.15">
      <c r="A945" s="1" t="s">
        <v>1341</v>
      </c>
      <c r="B945" s="1" t="s">
        <v>904</v>
      </c>
      <c r="D945" s="1" t="s">
        <v>4622</v>
      </c>
      <c r="E945" s="1" t="s">
        <v>4623</v>
      </c>
      <c r="F945" s="3">
        <v>0</v>
      </c>
      <c r="G945" s="8" t="s">
        <v>2771</v>
      </c>
      <c r="H945" s="8" t="s">
        <v>5159</v>
      </c>
      <c r="I945" s="3">
        <v>31</v>
      </c>
      <c r="J945" s="3" t="s">
        <v>5493</v>
      </c>
      <c r="K945" s="17" t="str">
        <f>HYPERLINK("http://ictvonline.org/taxonomyHistory.asp?taxnode_id=20171105","ICTVonline=20171105")</f>
        <v>ICTVonline=20171105</v>
      </c>
      <c r="L945" s="3">
        <v>944</v>
      </c>
    </row>
    <row r="946" spans="1:12" x14ac:dyDescent="0.15">
      <c r="A946" s="1" t="s">
        <v>1341</v>
      </c>
      <c r="B946" s="1" t="s">
        <v>904</v>
      </c>
      <c r="D946" s="1" t="s">
        <v>4622</v>
      </c>
      <c r="E946" s="1" t="s">
        <v>4624</v>
      </c>
      <c r="F946" s="3">
        <v>1</v>
      </c>
      <c r="G946" s="8" t="s">
        <v>2771</v>
      </c>
      <c r="H946" s="8" t="s">
        <v>5159</v>
      </c>
      <c r="I946" s="3">
        <v>31</v>
      </c>
      <c r="J946" s="3" t="s">
        <v>5493</v>
      </c>
      <c r="K946" s="17" t="str">
        <f>HYPERLINK("http://ictvonline.org/taxonomyHistory.asp?taxnode_id=20171106","ICTVonline=20171106")</f>
        <v>ICTVonline=20171106</v>
      </c>
      <c r="L946" s="3">
        <v>945</v>
      </c>
    </row>
    <row r="947" spans="1:12" x14ac:dyDescent="0.15">
      <c r="A947" s="1" t="s">
        <v>1341</v>
      </c>
      <c r="B947" s="1" t="s">
        <v>904</v>
      </c>
      <c r="D947" s="1" t="s">
        <v>3389</v>
      </c>
      <c r="E947" s="1" t="s">
        <v>3390</v>
      </c>
      <c r="F947" s="3">
        <v>1</v>
      </c>
      <c r="G947" s="8" t="s">
        <v>2771</v>
      </c>
      <c r="H947" s="8" t="s">
        <v>5160</v>
      </c>
      <c r="I947" s="3">
        <v>30</v>
      </c>
      <c r="J947" s="3" t="s">
        <v>5297</v>
      </c>
      <c r="K947" s="17" t="str">
        <f>HYPERLINK("http://ictvonline.org/taxonomyHistory.asp?taxnode_id=20171108","ICTVonline=20171108")</f>
        <v>ICTVonline=20171108</v>
      </c>
      <c r="L947" s="3">
        <v>946</v>
      </c>
    </row>
    <row r="948" spans="1:12" x14ac:dyDescent="0.15">
      <c r="A948" s="1" t="s">
        <v>1341</v>
      </c>
      <c r="B948" s="1" t="s">
        <v>904</v>
      </c>
      <c r="D948" s="1" t="s">
        <v>3389</v>
      </c>
      <c r="E948" s="1" t="s">
        <v>3391</v>
      </c>
      <c r="F948" s="3">
        <v>0</v>
      </c>
      <c r="G948" s="8" t="s">
        <v>2771</v>
      </c>
      <c r="H948" s="8" t="s">
        <v>5160</v>
      </c>
      <c r="I948" s="3">
        <v>30</v>
      </c>
      <c r="J948" s="3" t="s">
        <v>5297</v>
      </c>
      <c r="K948" s="17" t="str">
        <f>HYPERLINK("http://ictvonline.org/taxonomyHistory.asp?taxnode_id=20171109","ICTVonline=20171109")</f>
        <v>ICTVonline=20171109</v>
      </c>
      <c r="L948" s="3">
        <v>947</v>
      </c>
    </row>
    <row r="949" spans="1:12" x14ac:dyDescent="0.15">
      <c r="A949" s="1" t="s">
        <v>1341</v>
      </c>
      <c r="B949" s="1" t="s">
        <v>904</v>
      </c>
      <c r="D949" s="1" t="s">
        <v>3392</v>
      </c>
      <c r="E949" s="1" t="s">
        <v>3393</v>
      </c>
      <c r="F949" s="3">
        <v>0</v>
      </c>
      <c r="G949" s="8" t="s">
        <v>2771</v>
      </c>
      <c r="H949" s="8" t="s">
        <v>5159</v>
      </c>
      <c r="I949" s="3">
        <v>30</v>
      </c>
      <c r="J949" s="3" t="s">
        <v>5494</v>
      </c>
      <c r="K949" s="17" t="str">
        <f>HYPERLINK("http://ictvonline.org/taxonomyHistory.asp?taxnode_id=20171111","ICTVonline=20171111")</f>
        <v>ICTVonline=20171111</v>
      </c>
      <c r="L949" s="3">
        <v>948</v>
      </c>
    </row>
    <row r="950" spans="1:12" x14ac:dyDescent="0.15">
      <c r="A950" s="1" t="s">
        <v>1341</v>
      </c>
      <c r="B950" s="1" t="s">
        <v>904</v>
      </c>
      <c r="D950" s="1" t="s">
        <v>3392</v>
      </c>
      <c r="E950" s="1" t="s">
        <v>3394</v>
      </c>
      <c r="F950" s="3">
        <v>0</v>
      </c>
      <c r="G950" s="8" t="s">
        <v>2771</v>
      </c>
      <c r="H950" s="8" t="s">
        <v>5159</v>
      </c>
      <c r="I950" s="3">
        <v>30</v>
      </c>
      <c r="J950" s="3" t="s">
        <v>5494</v>
      </c>
      <c r="K950" s="17" t="str">
        <f>HYPERLINK("http://ictvonline.org/taxonomyHistory.asp?taxnode_id=20171112","ICTVonline=20171112")</f>
        <v>ICTVonline=20171112</v>
      </c>
      <c r="L950" s="3">
        <v>949</v>
      </c>
    </row>
    <row r="951" spans="1:12" x14ac:dyDescent="0.15">
      <c r="A951" s="1" t="s">
        <v>1341</v>
      </c>
      <c r="B951" s="1" t="s">
        <v>904</v>
      </c>
      <c r="D951" s="1" t="s">
        <v>3392</v>
      </c>
      <c r="E951" s="1" t="s">
        <v>3395</v>
      </c>
      <c r="F951" s="3">
        <v>0</v>
      </c>
      <c r="G951" s="8" t="s">
        <v>2771</v>
      </c>
      <c r="H951" s="8" t="s">
        <v>5159</v>
      </c>
      <c r="I951" s="3">
        <v>30</v>
      </c>
      <c r="J951" s="3" t="s">
        <v>5494</v>
      </c>
      <c r="K951" s="17" t="str">
        <f>HYPERLINK("http://ictvonline.org/taxonomyHistory.asp?taxnode_id=20171113","ICTVonline=20171113")</f>
        <v>ICTVonline=20171113</v>
      </c>
      <c r="L951" s="3">
        <v>950</v>
      </c>
    </row>
    <row r="952" spans="1:12" x14ac:dyDescent="0.15">
      <c r="A952" s="1" t="s">
        <v>1341</v>
      </c>
      <c r="B952" s="1" t="s">
        <v>904</v>
      </c>
      <c r="D952" s="1" t="s">
        <v>3392</v>
      </c>
      <c r="E952" s="1" t="s">
        <v>3396</v>
      </c>
      <c r="F952" s="3">
        <v>0</v>
      </c>
      <c r="G952" s="8" t="s">
        <v>2771</v>
      </c>
      <c r="H952" s="8" t="s">
        <v>5159</v>
      </c>
      <c r="I952" s="3">
        <v>30</v>
      </c>
      <c r="J952" s="3" t="s">
        <v>5494</v>
      </c>
      <c r="K952" s="17" t="str">
        <f>HYPERLINK("http://ictvonline.org/taxonomyHistory.asp?taxnode_id=20171114","ICTVonline=20171114")</f>
        <v>ICTVonline=20171114</v>
      </c>
      <c r="L952" s="3">
        <v>951</v>
      </c>
    </row>
    <row r="953" spans="1:12" x14ac:dyDescent="0.15">
      <c r="A953" s="1" t="s">
        <v>1341</v>
      </c>
      <c r="B953" s="1" t="s">
        <v>904</v>
      </c>
      <c r="D953" s="1" t="s">
        <v>3392</v>
      </c>
      <c r="E953" s="1" t="s">
        <v>3397</v>
      </c>
      <c r="F953" s="3">
        <v>1</v>
      </c>
      <c r="G953" s="8" t="s">
        <v>2771</v>
      </c>
      <c r="H953" s="8" t="s">
        <v>5159</v>
      </c>
      <c r="I953" s="3">
        <v>30</v>
      </c>
      <c r="J953" s="3" t="s">
        <v>5494</v>
      </c>
      <c r="K953" s="17" t="str">
        <f>HYPERLINK("http://ictvonline.org/taxonomyHistory.asp?taxnode_id=20171115","ICTVonline=20171115")</f>
        <v>ICTVonline=20171115</v>
      </c>
      <c r="L953" s="3">
        <v>952</v>
      </c>
    </row>
    <row r="954" spans="1:12" x14ac:dyDescent="0.15">
      <c r="A954" s="1" t="s">
        <v>1341</v>
      </c>
      <c r="B954" s="1" t="s">
        <v>904</v>
      </c>
      <c r="D954" s="1" t="s">
        <v>4625</v>
      </c>
      <c r="E954" s="1" t="s">
        <v>4626</v>
      </c>
      <c r="F954" s="3">
        <v>0</v>
      </c>
      <c r="G954" s="8" t="s">
        <v>2771</v>
      </c>
      <c r="H954" s="8" t="s">
        <v>5159</v>
      </c>
      <c r="I954" s="3">
        <v>31</v>
      </c>
      <c r="J954" s="3" t="s">
        <v>5495</v>
      </c>
      <c r="K954" s="17" t="str">
        <f>HYPERLINK("http://ictvonline.org/taxonomyHistory.asp?taxnode_id=20171117","ICTVonline=20171117")</f>
        <v>ICTVonline=20171117</v>
      </c>
      <c r="L954" s="3">
        <v>953</v>
      </c>
    </row>
    <row r="955" spans="1:12" x14ac:dyDescent="0.15">
      <c r="A955" s="1" t="s">
        <v>1341</v>
      </c>
      <c r="B955" s="1" t="s">
        <v>904</v>
      </c>
      <c r="D955" s="1" t="s">
        <v>4625</v>
      </c>
      <c r="E955" s="1" t="s">
        <v>4627</v>
      </c>
      <c r="F955" s="3">
        <v>0</v>
      </c>
      <c r="G955" s="8" t="s">
        <v>2771</v>
      </c>
      <c r="H955" s="8" t="s">
        <v>5159</v>
      </c>
      <c r="I955" s="3">
        <v>31</v>
      </c>
      <c r="J955" s="3" t="s">
        <v>5495</v>
      </c>
      <c r="K955" s="17" t="str">
        <f>HYPERLINK("http://ictvonline.org/taxonomyHistory.asp?taxnode_id=20171118","ICTVonline=20171118")</f>
        <v>ICTVonline=20171118</v>
      </c>
      <c r="L955" s="3">
        <v>954</v>
      </c>
    </row>
    <row r="956" spans="1:12" x14ac:dyDescent="0.15">
      <c r="A956" s="1" t="s">
        <v>1341</v>
      </c>
      <c r="B956" s="1" t="s">
        <v>904</v>
      </c>
      <c r="D956" s="1" t="s">
        <v>4625</v>
      </c>
      <c r="E956" s="1" t="s">
        <v>4628</v>
      </c>
      <c r="F956" s="3">
        <v>0</v>
      </c>
      <c r="G956" s="8" t="s">
        <v>2771</v>
      </c>
      <c r="H956" s="8" t="s">
        <v>5159</v>
      </c>
      <c r="I956" s="3">
        <v>31</v>
      </c>
      <c r="J956" s="3" t="s">
        <v>5495</v>
      </c>
      <c r="K956" s="17" t="str">
        <f>HYPERLINK("http://ictvonline.org/taxonomyHistory.asp?taxnode_id=20171119","ICTVonline=20171119")</f>
        <v>ICTVonline=20171119</v>
      </c>
      <c r="L956" s="3">
        <v>955</v>
      </c>
    </row>
    <row r="957" spans="1:12" x14ac:dyDescent="0.15">
      <c r="A957" s="1" t="s">
        <v>1341</v>
      </c>
      <c r="B957" s="1" t="s">
        <v>904</v>
      </c>
      <c r="D957" s="1" t="s">
        <v>4625</v>
      </c>
      <c r="E957" s="1" t="s">
        <v>4629</v>
      </c>
      <c r="F957" s="3">
        <v>0</v>
      </c>
      <c r="G957" s="8" t="s">
        <v>2771</v>
      </c>
      <c r="H957" s="8" t="s">
        <v>5159</v>
      </c>
      <c r="I957" s="3">
        <v>31</v>
      </c>
      <c r="J957" s="3" t="s">
        <v>5495</v>
      </c>
      <c r="K957" s="17" t="str">
        <f>HYPERLINK("http://ictvonline.org/taxonomyHistory.asp?taxnode_id=20171120","ICTVonline=20171120")</f>
        <v>ICTVonline=20171120</v>
      </c>
      <c r="L957" s="3">
        <v>956</v>
      </c>
    </row>
    <row r="958" spans="1:12" x14ac:dyDescent="0.15">
      <c r="A958" s="1" t="s">
        <v>1341</v>
      </c>
      <c r="B958" s="1" t="s">
        <v>904</v>
      </c>
      <c r="D958" s="1" t="s">
        <v>4625</v>
      </c>
      <c r="E958" s="1" t="s">
        <v>4630</v>
      </c>
      <c r="F958" s="3">
        <v>0</v>
      </c>
      <c r="G958" s="8" t="s">
        <v>2771</v>
      </c>
      <c r="H958" s="8" t="s">
        <v>5159</v>
      </c>
      <c r="I958" s="3">
        <v>31</v>
      </c>
      <c r="J958" s="3" t="s">
        <v>5495</v>
      </c>
      <c r="K958" s="17" t="str">
        <f>HYPERLINK("http://ictvonline.org/taxonomyHistory.asp?taxnode_id=20171121","ICTVonline=20171121")</f>
        <v>ICTVonline=20171121</v>
      </c>
      <c r="L958" s="3">
        <v>957</v>
      </c>
    </row>
    <row r="959" spans="1:12" x14ac:dyDescent="0.15">
      <c r="A959" s="1" t="s">
        <v>1341</v>
      </c>
      <c r="B959" s="1" t="s">
        <v>904</v>
      </c>
      <c r="D959" s="1" t="s">
        <v>4625</v>
      </c>
      <c r="E959" s="1" t="s">
        <v>4631</v>
      </c>
      <c r="F959" s="3">
        <v>0</v>
      </c>
      <c r="G959" s="8" t="s">
        <v>2771</v>
      </c>
      <c r="H959" s="8" t="s">
        <v>5159</v>
      </c>
      <c r="I959" s="3">
        <v>31</v>
      </c>
      <c r="J959" s="3" t="s">
        <v>5495</v>
      </c>
      <c r="K959" s="17" t="str">
        <f>HYPERLINK("http://ictvonline.org/taxonomyHistory.asp?taxnode_id=20171122","ICTVonline=20171122")</f>
        <v>ICTVonline=20171122</v>
      </c>
      <c r="L959" s="3">
        <v>958</v>
      </c>
    </row>
    <row r="960" spans="1:12" x14ac:dyDescent="0.15">
      <c r="A960" s="1" t="s">
        <v>1341</v>
      </c>
      <c r="B960" s="1" t="s">
        <v>904</v>
      </c>
      <c r="D960" s="1" t="s">
        <v>4625</v>
      </c>
      <c r="E960" s="1" t="s">
        <v>4632</v>
      </c>
      <c r="F960" s="3">
        <v>0</v>
      </c>
      <c r="G960" s="8" t="s">
        <v>2771</v>
      </c>
      <c r="H960" s="8" t="s">
        <v>5159</v>
      </c>
      <c r="I960" s="3">
        <v>31</v>
      </c>
      <c r="J960" s="3" t="s">
        <v>5495</v>
      </c>
      <c r="K960" s="17" t="str">
        <f>HYPERLINK("http://ictvonline.org/taxonomyHistory.asp?taxnode_id=20171123","ICTVonline=20171123")</f>
        <v>ICTVonline=20171123</v>
      </c>
      <c r="L960" s="3">
        <v>959</v>
      </c>
    </row>
    <row r="961" spans="1:12" x14ac:dyDescent="0.15">
      <c r="A961" s="1" t="s">
        <v>1341</v>
      </c>
      <c r="B961" s="1" t="s">
        <v>904</v>
      </c>
      <c r="D961" s="1" t="s">
        <v>4625</v>
      </c>
      <c r="E961" s="1" t="s">
        <v>4633</v>
      </c>
      <c r="F961" s="3">
        <v>0</v>
      </c>
      <c r="G961" s="8" t="s">
        <v>2771</v>
      </c>
      <c r="H961" s="8" t="s">
        <v>5159</v>
      </c>
      <c r="I961" s="3">
        <v>31</v>
      </c>
      <c r="J961" s="3" t="s">
        <v>5495</v>
      </c>
      <c r="K961" s="17" t="str">
        <f>HYPERLINK("http://ictvonline.org/taxonomyHistory.asp?taxnode_id=20171124","ICTVonline=20171124")</f>
        <v>ICTVonline=20171124</v>
      </c>
      <c r="L961" s="3">
        <v>960</v>
      </c>
    </row>
    <row r="962" spans="1:12" x14ac:dyDescent="0.15">
      <c r="A962" s="1" t="s">
        <v>1341</v>
      </c>
      <c r="B962" s="1" t="s">
        <v>904</v>
      </c>
      <c r="D962" s="1" t="s">
        <v>4625</v>
      </c>
      <c r="E962" s="1" t="s">
        <v>4634</v>
      </c>
      <c r="F962" s="3">
        <v>0</v>
      </c>
      <c r="G962" s="8" t="s">
        <v>2771</v>
      </c>
      <c r="H962" s="8" t="s">
        <v>5159</v>
      </c>
      <c r="I962" s="3">
        <v>31</v>
      </c>
      <c r="J962" s="3" t="s">
        <v>5495</v>
      </c>
      <c r="K962" s="17" t="str">
        <f>HYPERLINK("http://ictvonline.org/taxonomyHistory.asp?taxnode_id=20171125","ICTVonline=20171125")</f>
        <v>ICTVonline=20171125</v>
      </c>
      <c r="L962" s="3">
        <v>961</v>
      </c>
    </row>
    <row r="963" spans="1:12" x14ac:dyDescent="0.15">
      <c r="A963" s="1" t="s">
        <v>1341</v>
      </c>
      <c r="B963" s="1" t="s">
        <v>904</v>
      </c>
      <c r="D963" s="1" t="s">
        <v>4625</v>
      </c>
      <c r="E963" s="1" t="s">
        <v>4635</v>
      </c>
      <c r="F963" s="3">
        <v>0</v>
      </c>
      <c r="G963" s="8" t="s">
        <v>2771</v>
      </c>
      <c r="H963" s="8" t="s">
        <v>5159</v>
      </c>
      <c r="I963" s="3">
        <v>31</v>
      </c>
      <c r="J963" s="3" t="s">
        <v>5495</v>
      </c>
      <c r="K963" s="17" t="str">
        <f>HYPERLINK("http://ictvonline.org/taxonomyHistory.asp?taxnode_id=20171126","ICTVonline=20171126")</f>
        <v>ICTVonline=20171126</v>
      </c>
      <c r="L963" s="3">
        <v>962</v>
      </c>
    </row>
    <row r="964" spans="1:12" x14ac:dyDescent="0.15">
      <c r="A964" s="1" t="s">
        <v>1341</v>
      </c>
      <c r="B964" s="1" t="s">
        <v>904</v>
      </c>
      <c r="D964" s="1" t="s">
        <v>4625</v>
      </c>
      <c r="E964" s="1" t="s">
        <v>4636</v>
      </c>
      <c r="F964" s="3">
        <v>0</v>
      </c>
      <c r="G964" s="8" t="s">
        <v>2771</v>
      </c>
      <c r="H964" s="8" t="s">
        <v>5159</v>
      </c>
      <c r="I964" s="3">
        <v>31</v>
      </c>
      <c r="J964" s="3" t="s">
        <v>5495</v>
      </c>
      <c r="K964" s="17" t="str">
        <f>HYPERLINK("http://ictvonline.org/taxonomyHistory.asp?taxnode_id=20171127","ICTVonline=20171127")</f>
        <v>ICTVonline=20171127</v>
      </c>
      <c r="L964" s="3">
        <v>963</v>
      </c>
    </row>
    <row r="965" spans="1:12" x14ac:dyDescent="0.15">
      <c r="A965" s="1" t="s">
        <v>1341</v>
      </c>
      <c r="B965" s="1" t="s">
        <v>904</v>
      </c>
      <c r="D965" s="1" t="s">
        <v>4625</v>
      </c>
      <c r="E965" s="1" t="s">
        <v>4637</v>
      </c>
      <c r="F965" s="3">
        <v>0</v>
      </c>
      <c r="G965" s="8" t="s">
        <v>2771</v>
      </c>
      <c r="H965" s="8" t="s">
        <v>5159</v>
      </c>
      <c r="I965" s="3">
        <v>31</v>
      </c>
      <c r="J965" s="3" t="s">
        <v>5495</v>
      </c>
      <c r="K965" s="17" t="str">
        <f>HYPERLINK("http://ictvonline.org/taxonomyHistory.asp?taxnode_id=20171128","ICTVonline=20171128")</f>
        <v>ICTVonline=20171128</v>
      </c>
      <c r="L965" s="3">
        <v>964</v>
      </c>
    </row>
    <row r="966" spans="1:12" x14ac:dyDescent="0.15">
      <c r="A966" s="1" t="s">
        <v>1341</v>
      </c>
      <c r="B966" s="1" t="s">
        <v>904</v>
      </c>
      <c r="D966" s="1" t="s">
        <v>4625</v>
      </c>
      <c r="E966" s="1" t="s">
        <v>4638</v>
      </c>
      <c r="F966" s="3">
        <v>0</v>
      </c>
      <c r="G966" s="8" t="s">
        <v>2771</v>
      </c>
      <c r="H966" s="8" t="s">
        <v>5159</v>
      </c>
      <c r="I966" s="3">
        <v>31</v>
      </c>
      <c r="J966" s="3" t="s">
        <v>5495</v>
      </c>
      <c r="K966" s="17" t="str">
        <f>HYPERLINK("http://ictvonline.org/taxonomyHistory.asp?taxnode_id=20171129","ICTVonline=20171129")</f>
        <v>ICTVonline=20171129</v>
      </c>
      <c r="L966" s="3">
        <v>965</v>
      </c>
    </row>
    <row r="967" spans="1:12" x14ac:dyDescent="0.15">
      <c r="A967" s="1" t="s">
        <v>1341</v>
      </c>
      <c r="B967" s="1" t="s">
        <v>904</v>
      </c>
      <c r="D967" s="1" t="s">
        <v>4625</v>
      </c>
      <c r="E967" s="1" t="s">
        <v>4639</v>
      </c>
      <c r="F967" s="3">
        <v>0</v>
      </c>
      <c r="G967" s="8" t="s">
        <v>2771</v>
      </c>
      <c r="H967" s="8" t="s">
        <v>5159</v>
      </c>
      <c r="I967" s="3">
        <v>31</v>
      </c>
      <c r="J967" s="3" t="s">
        <v>5495</v>
      </c>
      <c r="K967" s="17" t="str">
        <f>HYPERLINK("http://ictvonline.org/taxonomyHistory.asp?taxnode_id=20171130","ICTVonline=20171130")</f>
        <v>ICTVonline=20171130</v>
      </c>
      <c r="L967" s="3">
        <v>966</v>
      </c>
    </row>
    <row r="968" spans="1:12" x14ac:dyDescent="0.15">
      <c r="A968" s="1" t="s">
        <v>1341</v>
      </c>
      <c r="B968" s="1" t="s">
        <v>904</v>
      </c>
      <c r="D968" s="1" t="s">
        <v>4625</v>
      </c>
      <c r="E968" s="1" t="s">
        <v>4640</v>
      </c>
      <c r="F968" s="3">
        <v>0</v>
      </c>
      <c r="G968" s="8" t="s">
        <v>2771</v>
      </c>
      <c r="H968" s="8" t="s">
        <v>5159</v>
      </c>
      <c r="I968" s="3">
        <v>31</v>
      </c>
      <c r="J968" s="3" t="s">
        <v>5495</v>
      </c>
      <c r="K968" s="17" t="str">
        <f>HYPERLINK("http://ictvonline.org/taxonomyHistory.asp?taxnode_id=20171131","ICTVonline=20171131")</f>
        <v>ICTVonline=20171131</v>
      </c>
      <c r="L968" s="3">
        <v>967</v>
      </c>
    </row>
    <row r="969" spans="1:12" x14ac:dyDescent="0.15">
      <c r="A969" s="1" t="s">
        <v>1341</v>
      </c>
      <c r="B969" s="1" t="s">
        <v>904</v>
      </c>
      <c r="D969" s="1" t="s">
        <v>4625</v>
      </c>
      <c r="E969" s="1" t="s">
        <v>4641</v>
      </c>
      <c r="F969" s="3">
        <v>0</v>
      </c>
      <c r="G969" s="8" t="s">
        <v>2771</v>
      </c>
      <c r="H969" s="8" t="s">
        <v>5159</v>
      </c>
      <c r="I969" s="3">
        <v>31</v>
      </c>
      <c r="J969" s="3" t="s">
        <v>5495</v>
      </c>
      <c r="K969" s="17" t="str">
        <f>HYPERLINK("http://ictvonline.org/taxonomyHistory.asp?taxnode_id=20171132","ICTVonline=20171132")</f>
        <v>ICTVonline=20171132</v>
      </c>
      <c r="L969" s="3">
        <v>968</v>
      </c>
    </row>
    <row r="970" spans="1:12" x14ac:dyDescent="0.15">
      <c r="A970" s="1" t="s">
        <v>1341</v>
      </c>
      <c r="B970" s="1" t="s">
        <v>904</v>
      </c>
      <c r="D970" s="1" t="s">
        <v>4625</v>
      </c>
      <c r="E970" s="1" t="s">
        <v>4642</v>
      </c>
      <c r="F970" s="3">
        <v>0</v>
      </c>
      <c r="G970" s="8" t="s">
        <v>2771</v>
      </c>
      <c r="H970" s="8" t="s">
        <v>5159</v>
      </c>
      <c r="I970" s="3">
        <v>31</v>
      </c>
      <c r="J970" s="3" t="s">
        <v>5495</v>
      </c>
      <c r="K970" s="17" t="str">
        <f>HYPERLINK("http://ictvonline.org/taxonomyHistory.asp?taxnode_id=20171133","ICTVonline=20171133")</f>
        <v>ICTVonline=20171133</v>
      </c>
      <c r="L970" s="3">
        <v>969</v>
      </c>
    </row>
    <row r="971" spans="1:12" x14ac:dyDescent="0.15">
      <c r="A971" s="1" t="s">
        <v>1341</v>
      </c>
      <c r="B971" s="1" t="s">
        <v>904</v>
      </c>
      <c r="D971" s="1" t="s">
        <v>4625</v>
      </c>
      <c r="E971" s="1" t="s">
        <v>4643</v>
      </c>
      <c r="F971" s="3">
        <v>1</v>
      </c>
      <c r="G971" s="8" t="s">
        <v>2771</v>
      </c>
      <c r="H971" s="8" t="s">
        <v>5159</v>
      </c>
      <c r="I971" s="3">
        <v>31</v>
      </c>
      <c r="J971" s="3" t="s">
        <v>5495</v>
      </c>
      <c r="K971" s="17" t="str">
        <f>HYPERLINK("http://ictvonline.org/taxonomyHistory.asp?taxnode_id=20171134","ICTVonline=20171134")</f>
        <v>ICTVonline=20171134</v>
      </c>
      <c r="L971" s="3">
        <v>970</v>
      </c>
    </row>
    <row r="972" spans="1:12" x14ac:dyDescent="0.15">
      <c r="A972" s="1" t="s">
        <v>1341</v>
      </c>
      <c r="B972" s="1" t="s">
        <v>904</v>
      </c>
      <c r="D972" s="1" t="s">
        <v>4625</v>
      </c>
      <c r="E972" s="1" t="s">
        <v>4644</v>
      </c>
      <c r="F972" s="3">
        <v>0</v>
      </c>
      <c r="G972" s="8" t="s">
        <v>2771</v>
      </c>
      <c r="H972" s="8" t="s">
        <v>5159</v>
      </c>
      <c r="I972" s="3">
        <v>31</v>
      </c>
      <c r="J972" s="3" t="s">
        <v>5495</v>
      </c>
      <c r="K972" s="17" t="str">
        <f>HYPERLINK("http://ictvonline.org/taxonomyHistory.asp?taxnode_id=20171135","ICTVonline=20171135")</f>
        <v>ICTVonline=20171135</v>
      </c>
      <c r="L972" s="3">
        <v>971</v>
      </c>
    </row>
    <row r="973" spans="1:12" x14ac:dyDescent="0.15">
      <c r="A973" s="1" t="s">
        <v>1341</v>
      </c>
      <c r="B973" s="1" t="s">
        <v>904</v>
      </c>
      <c r="D973" s="1" t="s">
        <v>4625</v>
      </c>
      <c r="E973" s="1" t="s">
        <v>4645</v>
      </c>
      <c r="F973" s="3">
        <v>0</v>
      </c>
      <c r="G973" s="8" t="s">
        <v>2771</v>
      </c>
      <c r="H973" s="8" t="s">
        <v>5159</v>
      </c>
      <c r="I973" s="3">
        <v>31</v>
      </c>
      <c r="J973" s="3" t="s">
        <v>5495</v>
      </c>
      <c r="K973" s="17" t="str">
        <f>HYPERLINK("http://ictvonline.org/taxonomyHistory.asp?taxnode_id=20171136","ICTVonline=20171136")</f>
        <v>ICTVonline=20171136</v>
      </c>
      <c r="L973" s="3">
        <v>972</v>
      </c>
    </row>
    <row r="974" spans="1:12" x14ac:dyDescent="0.15">
      <c r="A974" s="1" t="s">
        <v>1341</v>
      </c>
      <c r="B974" s="1" t="s">
        <v>904</v>
      </c>
      <c r="D974" s="1" t="s">
        <v>4625</v>
      </c>
      <c r="E974" s="1" t="s">
        <v>4646</v>
      </c>
      <c r="F974" s="3">
        <v>0</v>
      </c>
      <c r="G974" s="8" t="s">
        <v>2771</v>
      </c>
      <c r="H974" s="8" t="s">
        <v>5159</v>
      </c>
      <c r="I974" s="3">
        <v>31</v>
      </c>
      <c r="J974" s="3" t="s">
        <v>5495</v>
      </c>
      <c r="K974" s="17" t="str">
        <f>HYPERLINK("http://ictvonline.org/taxonomyHistory.asp?taxnode_id=20171137","ICTVonline=20171137")</f>
        <v>ICTVonline=20171137</v>
      </c>
      <c r="L974" s="3">
        <v>973</v>
      </c>
    </row>
    <row r="975" spans="1:12" x14ac:dyDescent="0.15">
      <c r="A975" s="1" t="s">
        <v>1341</v>
      </c>
      <c r="B975" s="1" t="s">
        <v>904</v>
      </c>
      <c r="D975" s="1" t="s">
        <v>4625</v>
      </c>
      <c r="E975" s="1" t="s">
        <v>4647</v>
      </c>
      <c r="F975" s="3">
        <v>0</v>
      </c>
      <c r="G975" s="8" t="s">
        <v>2771</v>
      </c>
      <c r="H975" s="8" t="s">
        <v>5159</v>
      </c>
      <c r="I975" s="3">
        <v>31</v>
      </c>
      <c r="J975" s="3" t="s">
        <v>5495</v>
      </c>
      <c r="K975" s="17" t="str">
        <f>HYPERLINK("http://ictvonline.org/taxonomyHistory.asp?taxnode_id=20171138","ICTVonline=20171138")</f>
        <v>ICTVonline=20171138</v>
      </c>
      <c r="L975" s="3">
        <v>974</v>
      </c>
    </row>
    <row r="976" spans="1:12" x14ac:dyDescent="0.15">
      <c r="A976" s="1" t="s">
        <v>1341</v>
      </c>
      <c r="B976" s="1" t="s">
        <v>904</v>
      </c>
      <c r="D976" s="1" t="s">
        <v>4625</v>
      </c>
      <c r="E976" s="1" t="s">
        <v>4648</v>
      </c>
      <c r="F976" s="3">
        <v>0</v>
      </c>
      <c r="G976" s="8" t="s">
        <v>2771</v>
      </c>
      <c r="H976" s="8" t="s">
        <v>5159</v>
      </c>
      <c r="I976" s="3">
        <v>31</v>
      </c>
      <c r="J976" s="3" t="s">
        <v>5495</v>
      </c>
      <c r="K976" s="17" t="str">
        <f>HYPERLINK("http://ictvonline.org/taxonomyHistory.asp?taxnode_id=20171139","ICTVonline=20171139")</f>
        <v>ICTVonline=20171139</v>
      </c>
      <c r="L976" s="3">
        <v>975</v>
      </c>
    </row>
    <row r="977" spans="1:12" x14ac:dyDescent="0.15">
      <c r="A977" s="1" t="s">
        <v>1341</v>
      </c>
      <c r="B977" s="1" t="s">
        <v>904</v>
      </c>
      <c r="D977" s="1" t="s">
        <v>4625</v>
      </c>
      <c r="E977" s="1" t="s">
        <v>4649</v>
      </c>
      <c r="F977" s="3">
        <v>0</v>
      </c>
      <c r="G977" s="8" t="s">
        <v>2771</v>
      </c>
      <c r="H977" s="8" t="s">
        <v>5159</v>
      </c>
      <c r="I977" s="3">
        <v>31</v>
      </c>
      <c r="J977" s="3" t="s">
        <v>5495</v>
      </c>
      <c r="K977" s="17" t="str">
        <f>HYPERLINK("http://ictvonline.org/taxonomyHistory.asp?taxnode_id=20171140","ICTVonline=20171140")</f>
        <v>ICTVonline=20171140</v>
      </c>
      <c r="L977" s="3">
        <v>976</v>
      </c>
    </row>
    <row r="978" spans="1:12" x14ac:dyDescent="0.15">
      <c r="A978" s="1" t="s">
        <v>1341</v>
      </c>
      <c r="B978" s="1" t="s">
        <v>904</v>
      </c>
      <c r="D978" s="1" t="s">
        <v>4625</v>
      </c>
      <c r="E978" s="1" t="s">
        <v>4650</v>
      </c>
      <c r="F978" s="3">
        <v>0</v>
      </c>
      <c r="G978" s="8" t="s">
        <v>2771</v>
      </c>
      <c r="H978" s="8" t="s">
        <v>5159</v>
      </c>
      <c r="I978" s="3">
        <v>31</v>
      </c>
      <c r="J978" s="3" t="s">
        <v>5495</v>
      </c>
      <c r="K978" s="17" t="str">
        <f>HYPERLINK("http://ictvonline.org/taxonomyHistory.asp?taxnode_id=20171141","ICTVonline=20171141")</f>
        <v>ICTVonline=20171141</v>
      </c>
      <c r="L978" s="3">
        <v>977</v>
      </c>
    </row>
    <row r="979" spans="1:12" x14ac:dyDescent="0.15">
      <c r="A979" s="1" t="s">
        <v>1341</v>
      </c>
      <c r="B979" s="1" t="s">
        <v>904</v>
      </c>
      <c r="D979" s="1" t="s">
        <v>4625</v>
      </c>
      <c r="E979" s="1" t="s">
        <v>4651</v>
      </c>
      <c r="F979" s="3">
        <v>0</v>
      </c>
      <c r="G979" s="8" t="s">
        <v>2771</v>
      </c>
      <c r="H979" s="8" t="s">
        <v>5159</v>
      </c>
      <c r="I979" s="3">
        <v>31</v>
      </c>
      <c r="J979" s="3" t="s">
        <v>5495</v>
      </c>
      <c r="K979" s="17" t="str">
        <f>HYPERLINK("http://ictvonline.org/taxonomyHistory.asp?taxnode_id=20171142","ICTVonline=20171142")</f>
        <v>ICTVonline=20171142</v>
      </c>
      <c r="L979" s="3">
        <v>978</v>
      </c>
    </row>
    <row r="980" spans="1:12" x14ac:dyDescent="0.15">
      <c r="A980" s="1" t="s">
        <v>1341</v>
      </c>
      <c r="B980" s="1" t="s">
        <v>904</v>
      </c>
      <c r="D980" s="1" t="s">
        <v>4625</v>
      </c>
      <c r="E980" s="1" t="s">
        <v>4652</v>
      </c>
      <c r="F980" s="3">
        <v>0</v>
      </c>
      <c r="G980" s="8" t="s">
        <v>2771</v>
      </c>
      <c r="H980" s="8" t="s">
        <v>5159</v>
      </c>
      <c r="I980" s="3">
        <v>31</v>
      </c>
      <c r="J980" s="3" t="s">
        <v>5495</v>
      </c>
      <c r="K980" s="17" t="str">
        <f>HYPERLINK("http://ictvonline.org/taxonomyHistory.asp?taxnode_id=20171143","ICTVonline=20171143")</f>
        <v>ICTVonline=20171143</v>
      </c>
      <c r="L980" s="3">
        <v>979</v>
      </c>
    </row>
    <row r="981" spans="1:12" x14ac:dyDescent="0.15">
      <c r="A981" s="1" t="s">
        <v>1341</v>
      </c>
      <c r="B981" s="1" t="s">
        <v>904</v>
      </c>
      <c r="D981" s="1" t="s">
        <v>4625</v>
      </c>
      <c r="E981" s="1" t="s">
        <v>4653</v>
      </c>
      <c r="F981" s="3">
        <v>0</v>
      </c>
      <c r="G981" s="8" t="s">
        <v>2771</v>
      </c>
      <c r="H981" s="8" t="s">
        <v>5159</v>
      </c>
      <c r="I981" s="3">
        <v>31</v>
      </c>
      <c r="J981" s="3" t="s">
        <v>5495</v>
      </c>
      <c r="K981" s="17" t="str">
        <f>HYPERLINK("http://ictvonline.org/taxonomyHistory.asp?taxnode_id=20171144","ICTVonline=20171144")</f>
        <v>ICTVonline=20171144</v>
      </c>
      <c r="L981" s="3">
        <v>980</v>
      </c>
    </row>
    <row r="982" spans="1:12" x14ac:dyDescent="0.15">
      <c r="A982" s="1" t="s">
        <v>1341</v>
      </c>
      <c r="B982" s="1" t="s">
        <v>904</v>
      </c>
      <c r="D982" s="1" t="s">
        <v>4625</v>
      </c>
      <c r="E982" s="1" t="s">
        <v>4654</v>
      </c>
      <c r="F982" s="3">
        <v>0</v>
      </c>
      <c r="G982" s="8" t="s">
        <v>2771</v>
      </c>
      <c r="H982" s="8" t="s">
        <v>5159</v>
      </c>
      <c r="I982" s="3">
        <v>31</v>
      </c>
      <c r="J982" s="3" t="s">
        <v>5495</v>
      </c>
      <c r="K982" s="17" t="str">
        <f>HYPERLINK("http://ictvonline.org/taxonomyHistory.asp?taxnode_id=20171145","ICTVonline=20171145")</f>
        <v>ICTVonline=20171145</v>
      </c>
      <c r="L982" s="3">
        <v>981</v>
      </c>
    </row>
    <row r="983" spans="1:12" x14ac:dyDescent="0.15">
      <c r="A983" s="1" t="s">
        <v>1341</v>
      </c>
      <c r="B983" s="1" t="s">
        <v>904</v>
      </c>
      <c r="D983" s="1" t="s">
        <v>4625</v>
      </c>
      <c r="E983" s="1" t="s">
        <v>4655</v>
      </c>
      <c r="F983" s="3">
        <v>0</v>
      </c>
      <c r="G983" s="8" t="s">
        <v>2771</v>
      </c>
      <c r="H983" s="8" t="s">
        <v>5159</v>
      </c>
      <c r="I983" s="3">
        <v>31</v>
      </c>
      <c r="J983" s="3" t="s">
        <v>5495</v>
      </c>
      <c r="K983" s="17" t="str">
        <f>HYPERLINK("http://ictvonline.org/taxonomyHistory.asp?taxnode_id=20171146","ICTVonline=20171146")</f>
        <v>ICTVonline=20171146</v>
      </c>
      <c r="L983" s="3">
        <v>982</v>
      </c>
    </row>
    <row r="984" spans="1:12" x14ac:dyDescent="0.15">
      <c r="A984" s="1" t="s">
        <v>1341</v>
      </c>
      <c r="B984" s="1" t="s">
        <v>904</v>
      </c>
      <c r="D984" s="1" t="s">
        <v>4625</v>
      </c>
      <c r="E984" s="1" t="s">
        <v>4656</v>
      </c>
      <c r="F984" s="3">
        <v>0</v>
      </c>
      <c r="G984" s="8" t="s">
        <v>2771</v>
      </c>
      <c r="H984" s="8" t="s">
        <v>5159</v>
      </c>
      <c r="I984" s="3">
        <v>31</v>
      </c>
      <c r="J984" s="3" t="s">
        <v>5495</v>
      </c>
      <c r="K984" s="17" t="str">
        <f>HYPERLINK("http://ictvonline.org/taxonomyHistory.asp?taxnode_id=20171147","ICTVonline=20171147")</f>
        <v>ICTVonline=20171147</v>
      </c>
      <c r="L984" s="3">
        <v>983</v>
      </c>
    </row>
    <row r="985" spans="1:12" x14ac:dyDescent="0.15">
      <c r="A985" s="1" t="s">
        <v>1341</v>
      </c>
      <c r="B985" s="1" t="s">
        <v>904</v>
      </c>
      <c r="D985" s="1" t="s">
        <v>4625</v>
      </c>
      <c r="E985" s="1" t="s">
        <v>4657</v>
      </c>
      <c r="F985" s="3">
        <v>0</v>
      </c>
      <c r="G985" s="8" t="s">
        <v>2771</v>
      </c>
      <c r="H985" s="8" t="s">
        <v>5159</v>
      </c>
      <c r="I985" s="3">
        <v>31</v>
      </c>
      <c r="J985" s="3" t="s">
        <v>5495</v>
      </c>
      <c r="K985" s="17" t="str">
        <f>HYPERLINK("http://ictvonline.org/taxonomyHistory.asp?taxnode_id=20171148","ICTVonline=20171148")</f>
        <v>ICTVonline=20171148</v>
      </c>
      <c r="L985" s="3">
        <v>984</v>
      </c>
    </row>
    <row r="986" spans="1:12" x14ac:dyDescent="0.15">
      <c r="A986" s="1" t="s">
        <v>1341</v>
      </c>
      <c r="B986" s="1" t="s">
        <v>904</v>
      </c>
      <c r="D986" s="1" t="s">
        <v>4625</v>
      </c>
      <c r="E986" s="1" t="s">
        <v>4658</v>
      </c>
      <c r="F986" s="3">
        <v>0</v>
      </c>
      <c r="G986" s="8" t="s">
        <v>2771</v>
      </c>
      <c r="H986" s="8" t="s">
        <v>5159</v>
      </c>
      <c r="I986" s="3">
        <v>31</v>
      </c>
      <c r="J986" s="3" t="s">
        <v>5495</v>
      </c>
      <c r="K986" s="17" t="str">
        <f>HYPERLINK("http://ictvonline.org/taxonomyHistory.asp?taxnode_id=20171149","ICTVonline=20171149")</f>
        <v>ICTVonline=20171149</v>
      </c>
      <c r="L986" s="3">
        <v>985</v>
      </c>
    </row>
    <row r="987" spans="1:12" x14ac:dyDescent="0.15">
      <c r="A987" s="1" t="s">
        <v>1341</v>
      </c>
      <c r="B987" s="1" t="s">
        <v>904</v>
      </c>
      <c r="D987" s="1" t="s">
        <v>4625</v>
      </c>
      <c r="E987" s="1" t="s">
        <v>4659</v>
      </c>
      <c r="F987" s="3">
        <v>0</v>
      </c>
      <c r="G987" s="8" t="s">
        <v>2771</v>
      </c>
      <c r="H987" s="8" t="s">
        <v>5159</v>
      </c>
      <c r="I987" s="3">
        <v>31</v>
      </c>
      <c r="J987" s="3" t="s">
        <v>5495</v>
      </c>
      <c r="K987" s="17" t="str">
        <f>HYPERLINK("http://ictvonline.org/taxonomyHistory.asp?taxnode_id=20171150","ICTVonline=20171150")</f>
        <v>ICTVonline=20171150</v>
      </c>
      <c r="L987" s="3">
        <v>986</v>
      </c>
    </row>
    <row r="988" spans="1:12" x14ac:dyDescent="0.15">
      <c r="A988" s="1" t="s">
        <v>1341</v>
      </c>
      <c r="B988" s="1" t="s">
        <v>904</v>
      </c>
      <c r="D988" s="1" t="s">
        <v>4625</v>
      </c>
      <c r="E988" s="1" t="s">
        <v>4660</v>
      </c>
      <c r="F988" s="3">
        <v>0</v>
      </c>
      <c r="G988" s="8" t="s">
        <v>2771</v>
      </c>
      <c r="H988" s="8" t="s">
        <v>5159</v>
      </c>
      <c r="I988" s="3">
        <v>31</v>
      </c>
      <c r="J988" s="3" t="s">
        <v>5495</v>
      </c>
      <c r="K988" s="17" t="str">
        <f>HYPERLINK("http://ictvonline.org/taxonomyHistory.asp?taxnode_id=20171151","ICTVonline=20171151")</f>
        <v>ICTVonline=20171151</v>
      </c>
      <c r="L988" s="3">
        <v>987</v>
      </c>
    </row>
    <row r="989" spans="1:12" x14ac:dyDescent="0.15">
      <c r="A989" s="1" t="s">
        <v>1341</v>
      </c>
      <c r="B989" s="1" t="s">
        <v>904</v>
      </c>
      <c r="D989" s="1" t="s">
        <v>4625</v>
      </c>
      <c r="E989" s="1" t="s">
        <v>4661</v>
      </c>
      <c r="F989" s="3">
        <v>0</v>
      </c>
      <c r="G989" s="8" t="s">
        <v>2771</v>
      </c>
      <c r="H989" s="8" t="s">
        <v>5159</v>
      </c>
      <c r="I989" s="3">
        <v>31</v>
      </c>
      <c r="J989" s="3" t="s">
        <v>5495</v>
      </c>
      <c r="K989" s="17" t="str">
        <f>HYPERLINK("http://ictvonline.org/taxonomyHistory.asp?taxnode_id=20171152","ICTVonline=20171152")</f>
        <v>ICTVonline=20171152</v>
      </c>
      <c r="L989" s="3">
        <v>988</v>
      </c>
    </row>
    <row r="990" spans="1:12" x14ac:dyDescent="0.15">
      <c r="A990" s="1" t="s">
        <v>1341</v>
      </c>
      <c r="B990" s="1" t="s">
        <v>904</v>
      </c>
      <c r="D990" s="1" t="s">
        <v>4625</v>
      </c>
      <c r="E990" s="1" t="s">
        <v>4662</v>
      </c>
      <c r="F990" s="3">
        <v>0</v>
      </c>
      <c r="G990" s="8" t="s">
        <v>2771</v>
      </c>
      <c r="H990" s="8" t="s">
        <v>5159</v>
      </c>
      <c r="I990" s="3">
        <v>31</v>
      </c>
      <c r="J990" s="3" t="s">
        <v>5495</v>
      </c>
      <c r="K990" s="17" t="str">
        <f>HYPERLINK("http://ictvonline.org/taxonomyHistory.asp?taxnode_id=20171153","ICTVonline=20171153")</f>
        <v>ICTVonline=20171153</v>
      </c>
      <c r="L990" s="3">
        <v>989</v>
      </c>
    </row>
    <row r="991" spans="1:12" x14ac:dyDescent="0.15">
      <c r="A991" s="1" t="s">
        <v>1341</v>
      </c>
      <c r="B991" s="1" t="s">
        <v>904</v>
      </c>
      <c r="D991" s="1" t="s">
        <v>4625</v>
      </c>
      <c r="E991" s="1" t="s">
        <v>4663</v>
      </c>
      <c r="F991" s="3">
        <v>0</v>
      </c>
      <c r="G991" s="8" t="s">
        <v>2771</v>
      </c>
      <c r="H991" s="8" t="s">
        <v>5159</v>
      </c>
      <c r="I991" s="3">
        <v>31</v>
      </c>
      <c r="J991" s="3" t="s">
        <v>5495</v>
      </c>
      <c r="K991" s="17" t="str">
        <f>HYPERLINK("http://ictvonline.org/taxonomyHistory.asp?taxnode_id=20171154","ICTVonline=20171154")</f>
        <v>ICTVonline=20171154</v>
      </c>
      <c r="L991" s="3">
        <v>990</v>
      </c>
    </row>
    <row r="992" spans="1:12" x14ac:dyDescent="0.15">
      <c r="A992" s="1" t="s">
        <v>1341</v>
      </c>
      <c r="B992" s="1" t="s">
        <v>904</v>
      </c>
      <c r="D992" s="1" t="s">
        <v>4625</v>
      </c>
      <c r="E992" s="1" t="s">
        <v>4664</v>
      </c>
      <c r="F992" s="3">
        <v>0</v>
      </c>
      <c r="G992" s="8" t="s">
        <v>2771</v>
      </c>
      <c r="H992" s="8" t="s">
        <v>5159</v>
      </c>
      <c r="I992" s="3">
        <v>31</v>
      </c>
      <c r="J992" s="3" t="s">
        <v>5495</v>
      </c>
      <c r="K992" s="17" t="str">
        <f>HYPERLINK("http://ictvonline.org/taxonomyHistory.asp?taxnode_id=20171155","ICTVonline=20171155")</f>
        <v>ICTVonline=20171155</v>
      </c>
      <c r="L992" s="3">
        <v>991</v>
      </c>
    </row>
    <row r="993" spans="1:12" x14ac:dyDescent="0.15">
      <c r="A993" s="1" t="s">
        <v>1341</v>
      </c>
      <c r="B993" s="1" t="s">
        <v>904</v>
      </c>
      <c r="D993" s="1" t="s">
        <v>4625</v>
      </c>
      <c r="E993" s="1" t="s">
        <v>4665</v>
      </c>
      <c r="F993" s="3">
        <v>0</v>
      </c>
      <c r="G993" s="8" t="s">
        <v>2771</v>
      </c>
      <c r="H993" s="8" t="s">
        <v>5159</v>
      </c>
      <c r="I993" s="3">
        <v>31</v>
      </c>
      <c r="J993" s="3" t="s">
        <v>5495</v>
      </c>
      <c r="K993" s="17" t="str">
        <f>HYPERLINK("http://ictvonline.org/taxonomyHistory.asp?taxnode_id=20171156","ICTVonline=20171156")</f>
        <v>ICTVonline=20171156</v>
      </c>
      <c r="L993" s="3">
        <v>992</v>
      </c>
    </row>
    <row r="994" spans="1:12" x14ac:dyDescent="0.15">
      <c r="A994" s="1" t="s">
        <v>1341</v>
      </c>
      <c r="B994" s="1" t="s">
        <v>904</v>
      </c>
      <c r="D994" s="1" t="s">
        <v>4625</v>
      </c>
      <c r="E994" s="1" t="s">
        <v>4666</v>
      </c>
      <c r="F994" s="3">
        <v>0</v>
      </c>
      <c r="G994" s="8" t="s">
        <v>2771</v>
      </c>
      <c r="H994" s="8" t="s">
        <v>5159</v>
      </c>
      <c r="I994" s="3">
        <v>31</v>
      </c>
      <c r="J994" s="3" t="s">
        <v>5495</v>
      </c>
      <c r="K994" s="17" t="str">
        <f>HYPERLINK("http://ictvonline.org/taxonomyHistory.asp?taxnode_id=20171157","ICTVonline=20171157")</f>
        <v>ICTVonline=20171157</v>
      </c>
      <c r="L994" s="3">
        <v>993</v>
      </c>
    </row>
    <row r="995" spans="1:12" x14ac:dyDescent="0.15">
      <c r="A995" s="1" t="s">
        <v>1341</v>
      </c>
      <c r="B995" s="1" t="s">
        <v>904</v>
      </c>
      <c r="D995" s="1" t="s">
        <v>4625</v>
      </c>
      <c r="E995" s="1" t="s">
        <v>4667</v>
      </c>
      <c r="F995" s="3">
        <v>0</v>
      </c>
      <c r="G995" s="8" t="s">
        <v>2771</v>
      </c>
      <c r="H995" s="8" t="s">
        <v>5159</v>
      </c>
      <c r="I995" s="3">
        <v>31</v>
      </c>
      <c r="J995" s="3" t="s">
        <v>5495</v>
      </c>
      <c r="K995" s="17" t="str">
        <f>HYPERLINK("http://ictvonline.org/taxonomyHistory.asp?taxnode_id=20171158","ICTVonline=20171158")</f>
        <v>ICTVonline=20171158</v>
      </c>
      <c r="L995" s="3">
        <v>994</v>
      </c>
    </row>
    <row r="996" spans="1:12" x14ac:dyDescent="0.15">
      <c r="A996" s="1" t="s">
        <v>1341</v>
      </c>
      <c r="B996" s="1" t="s">
        <v>904</v>
      </c>
      <c r="D996" s="1" t="s">
        <v>4625</v>
      </c>
      <c r="E996" s="1" t="s">
        <v>4668</v>
      </c>
      <c r="F996" s="3">
        <v>0</v>
      </c>
      <c r="G996" s="8" t="s">
        <v>2771</v>
      </c>
      <c r="H996" s="8" t="s">
        <v>5159</v>
      </c>
      <c r="I996" s="3">
        <v>31</v>
      </c>
      <c r="J996" s="3" t="s">
        <v>5495</v>
      </c>
      <c r="K996" s="17" t="str">
        <f>HYPERLINK("http://ictvonline.org/taxonomyHistory.asp?taxnode_id=20171159","ICTVonline=20171159")</f>
        <v>ICTVonline=20171159</v>
      </c>
      <c r="L996" s="3">
        <v>995</v>
      </c>
    </row>
    <row r="997" spans="1:12" x14ac:dyDescent="0.15">
      <c r="A997" s="1" t="s">
        <v>1341</v>
      </c>
      <c r="B997" s="1" t="s">
        <v>904</v>
      </c>
      <c r="D997" s="1" t="s">
        <v>4625</v>
      </c>
      <c r="E997" s="1" t="s">
        <v>4669</v>
      </c>
      <c r="F997" s="3">
        <v>0</v>
      </c>
      <c r="G997" s="8" t="s">
        <v>2771</v>
      </c>
      <c r="H997" s="8" t="s">
        <v>5159</v>
      </c>
      <c r="I997" s="3">
        <v>31</v>
      </c>
      <c r="J997" s="3" t="s">
        <v>5495</v>
      </c>
      <c r="K997" s="17" t="str">
        <f>HYPERLINK("http://ictvonline.org/taxonomyHistory.asp?taxnode_id=20171160","ICTVonline=20171160")</f>
        <v>ICTVonline=20171160</v>
      </c>
      <c r="L997" s="3">
        <v>996</v>
      </c>
    </row>
    <row r="998" spans="1:12" x14ac:dyDescent="0.15">
      <c r="A998" s="1" t="s">
        <v>1341</v>
      </c>
      <c r="B998" s="1" t="s">
        <v>904</v>
      </c>
      <c r="D998" s="1" t="s">
        <v>4625</v>
      </c>
      <c r="E998" s="1" t="s">
        <v>4670</v>
      </c>
      <c r="F998" s="3">
        <v>0</v>
      </c>
      <c r="G998" s="8" t="s">
        <v>2771</v>
      </c>
      <c r="H998" s="8" t="s">
        <v>5159</v>
      </c>
      <c r="I998" s="3">
        <v>31</v>
      </c>
      <c r="J998" s="3" t="s">
        <v>5495</v>
      </c>
      <c r="K998" s="17" t="str">
        <f>HYPERLINK("http://ictvonline.org/taxonomyHistory.asp?taxnode_id=20171161","ICTVonline=20171161")</f>
        <v>ICTVonline=20171161</v>
      </c>
      <c r="L998" s="3">
        <v>997</v>
      </c>
    </row>
    <row r="999" spans="1:12" x14ac:dyDescent="0.15">
      <c r="A999" s="1" t="s">
        <v>1341</v>
      </c>
      <c r="B999" s="1" t="s">
        <v>904</v>
      </c>
      <c r="D999" s="1" t="s">
        <v>4625</v>
      </c>
      <c r="E999" s="1" t="s">
        <v>4671</v>
      </c>
      <c r="F999" s="3">
        <v>0</v>
      </c>
      <c r="G999" s="8" t="s">
        <v>2771</v>
      </c>
      <c r="H999" s="8" t="s">
        <v>5159</v>
      </c>
      <c r="I999" s="3">
        <v>31</v>
      </c>
      <c r="J999" s="3" t="s">
        <v>5495</v>
      </c>
      <c r="K999" s="17" t="str">
        <f>HYPERLINK("http://ictvonline.org/taxonomyHistory.asp?taxnode_id=20171162","ICTVonline=20171162")</f>
        <v>ICTVonline=20171162</v>
      </c>
      <c r="L999" s="3">
        <v>998</v>
      </c>
    </row>
    <row r="1000" spans="1:12" x14ac:dyDescent="0.15">
      <c r="A1000" s="1" t="s">
        <v>1341</v>
      </c>
      <c r="B1000" s="1" t="s">
        <v>904</v>
      </c>
      <c r="D1000" s="1" t="s">
        <v>4625</v>
      </c>
      <c r="E1000" s="1" t="s">
        <v>4672</v>
      </c>
      <c r="F1000" s="3">
        <v>0</v>
      </c>
      <c r="G1000" s="8" t="s">
        <v>2771</v>
      </c>
      <c r="H1000" s="8" t="s">
        <v>5159</v>
      </c>
      <c r="I1000" s="3">
        <v>31</v>
      </c>
      <c r="J1000" s="3" t="s">
        <v>5495</v>
      </c>
      <c r="K1000" s="17" t="str">
        <f>HYPERLINK("http://ictvonline.org/taxonomyHistory.asp?taxnode_id=20171163","ICTVonline=20171163")</f>
        <v>ICTVonline=20171163</v>
      </c>
      <c r="L1000" s="3">
        <v>999</v>
      </c>
    </row>
    <row r="1001" spans="1:12" x14ac:dyDescent="0.15">
      <c r="A1001" s="1" t="s">
        <v>1341</v>
      </c>
      <c r="B1001" s="1" t="s">
        <v>904</v>
      </c>
      <c r="D1001" s="1" t="s">
        <v>4625</v>
      </c>
      <c r="E1001" s="1" t="s">
        <v>4673</v>
      </c>
      <c r="F1001" s="3">
        <v>0</v>
      </c>
      <c r="G1001" s="8" t="s">
        <v>2771</v>
      </c>
      <c r="H1001" s="8" t="s">
        <v>5159</v>
      </c>
      <c r="I1001" s="3">
        <v>31</v>
      </c>
      <c r="J1001" s="3" t="s">
        <v>5495</v>
      </c>
      <c r="K1001" s="17" t="str">
        <f>HYPERLINK("http://ictvonline.org/taxonomyHistory.asp?taxnode_id=20171164","ICTVonline=20171164")</f>
        <v>ICTVonline=20171164</v>
      </c>
      <c r="L1001" s="3">
        <v>1000</v>
      </c>
    </row>
    <row r="1002" spans="1:12" x14ac:dyDescent="0.15">
      <c r="A1002" s="1" t="s">
        <v>1341</v>
      </c>
      <c r="B1002" s="1" t="s">
        <v>904</v>
      </c>
      <c r="D1002" s="1" t="s">
        <v>4625</v>
      </c>
      <c r="E1002" s="1" t="s">
        <v>4674</v>
      </c>
      <c r="F1002" s="3">
        <v>0</v>
      </c>
      <c r="G1002" s="8" t="s">
        <v>2771</v>
      </c>
      <c r="H1002" s="8" t="s">
        <v>5159</v>
      </c>
      <c r="I1002" s="3">
        <v>31</v>
      </c>
      <c r="J1002" s="3" t="s">
        <v>5495</v>
      </c>
      <c r="K1002" s="17" t="str">
        <f>HYPERLINK("http://ictvonline.org/taxonomyHistory.asp?taxnode_id=20171165","ICTVonline=20171165")</f>
        <v>ICTVonline=20171165</v>
      </c>
      <c r="L1002" s="3">
        <v>1001</v>
      </c>
    </row>
    <row r="1003" spans="1:12" x14ac:dyDescent="0.15">
      <c r="A1003" s="1" t="s">
        <v>1341</v>
      </c>
      <c r="B1003" s="1" t="s">
        <v>904</v>
      </c>
      <c r="D1003" s="1" t="s">
        <v>4625</v>
      </c>
      <c r="E1003" s="1" t="s">
        <v>4675</v>
      </c>
      <c r="F1003" s="3">
        <v>0</v>
      </c>
      <c r="G1003" s="8" t="s">
        <v>2771</v>
      </c>
      <c r="H1003" s="8" t="s">
        <v>5159</v>
      </c>
      <c r="I1003" s="3">
        <v>31</v>
      </c>
      <c r="J1003" s="3" t="s">
        <v>5495</v>
      </c>
      <c r="K1003" s="17" t="str">
        <f>HYPERLINK("http://ictvonline.org/taxonomyHistory.asp?taxnode_id=20171166","ICTVonline=20171166")</f>
        <v>ICTVonline=20171166</v>
      </c>
      <c r="L1003" s="3">
        <v>1002</v>
      </c>
    </row>
    <row r="1004" spans="1:12" x14ac:dyDescent="0.15">
      <c r="A1004" s="1" t="s">
        <v>1341</v>
      </c>
      <c r="B1004" s="1" t="s">
        <v>904</v>
      </c>
      <c r="D1004" s="1" t="s">
        <v>4625</v>
      </c>
      <c r="E1004" s="1" t="s">
        <v>4676</v>
      </c>
      <c r="F1004" s="3">
        <v>0</v>
      </c>
      <c r="G1004" s="8" t="s">
        <v>2771</v>
      </c>
      <c r="H1004" s="8" t="s">
        <v>5159</v>
      </c>
      <c r="I1004" s="3">
        <v>31</v>
      </c>
      <c r="J1004" s="3" t="s">
        <v>5495</v>
      </c>
      <c r="K1004" s="17" t="str">
        <f>HYPERLINK("http://ictvonline.org/taxonomyHistory.asp?taxnode_id=20171167","ICTVonline=20171167")</f>
        <v>ICTVonline=20171167</v>
      </c>
      <c r="L1004" s="3">
        <v>1003</v>
      </c>
    </row>
    <row r="1005" spans="1:12" x14ac:dyDescent="0.15">
      <c r="A1005" s="1" t="s">
        <v>1341</v>
      </c>
      <c r="B1005" s="1" t="s">
        <v>904</v>
      </c>
      <c r="D1005" s="1" t="s">
        <v>4625</v>
      </c>
      <c r="E1005" s="1" t="s">
        <v>4677</v>
      </c>
      <c r="F1005" s="3">
        <v>0</v>
      </c>
      <c r="G1005" s="8" t="s">
        <v>2771</v>
      </c>
      <c r="H1005" s="8" t="s">
        <v>5159</v>
      </c>
      <c r="I1005" s="3">
        <v>31</v>
      </c>
      <c r="J1005" s="3" t="s">
        <v>5495</v>
      </c>
      <c r="K1005" s="17" t="str">
        <f>HYPERLINK("http://ictvonline.org/taxonomyHistory.asp?taxnode_id=20171168","ICTVonline=20171168")</f>
        <v>ICTVonline=20171168</v>
      </c>
      <c r="L1005" s="3">
        <v>1004</v>
      </c>
    </row>
    <row r="1006" spans="1:12" x14ac:dyDescent="0.15">
      <c r="A1006" s="1" t="s">
        <v>1341</v>
      </c>
      <c r="B1006" s="1" t="s">
        <v>904</v>
      </c>
      <c r="D1006" s="1" t="s">
        <v>4625</v>
      </c>
      <c r="E1006" s="1" t="s">
        <v>4678</v>
      </c>
      <c r="F1006" s="3">
        <v>0</v>
      </c>
      <c r="G1006" s="8" t="s">
        <v>2771</v>
      </c>
      <c r="H1006" s="8" t="s">
        <v>5159</v>
      </c>
      <c r="I1006" s="3">
        <v>31</v>
      </c>
      <c r="J1006" s="3" t="s">
        <v>5495</v>
      </c>
      <c r="K1006" s="17" t="str">
        <f>HYPERLINK("http://ictvonline.org/taxonomyHistory.asp?taxnode_id=20171169","ICTVonline=20171169")</f>
        <v>ICTVonline=20171169</v>
      </c>
      <c r="L1006" s="3">
        <v>1005</v>
      </c>
    </row>
    <row r="1007" spans="1:12" x14ac:dyDescent="0.15">
      <c r="A1007" s="1" t="s">
        <v>1341</v>
      </c>
      <c r="B1007" s="1" t="s">
        <v>904</v>
      </c>
      <c r="D1007" s="1" t="s">
        <v>4625</v>
      </c>
      <c r="E1007" s="1" t="s">
        <v>4679</v>
      </c>
      <c r="F1007" s="3">
        <v>0</v>
      </c>
      <c r="G1007" s="8" t="s">
        <v>2771</v>
      </c>
      <c r="H1007" s="8" t="s">
        <v>5159</v>
      </c>
      <c r="I1007" s="3">
        <v>31</v>
      </c>
      <c r="J1007" s="3" t="s">
        <v>5495</v>
      </c>
      <c r="K1007" s="17" t="str">
        <f>HYPERLINK("http://ictvonline.org/taxonomyHistory.asp?taxnode_id=20171170","ICTVonline=20171170")</f>
        <v>ICTVonline=20171170</v>
      </c>
      <c r="L1007" s="3">
        <v>1006</v>
      </c>
    </row>
    <row r="1008" spans="1:12" x14ac:dyDescent="0.15">
      <c r="A1008" s="1" t="s">
        <v>1341</v>
      </c>
      <c r="B1008" s="1" t="s">
        <v>904</v>
      </c>
      <c r="D1008" s="1" t="s">
        <v>4625</v>
      </c>
      <c r="E1008" s="1" t="s">
        <v>4680</v>
      </c>
      <c r="F1008" s="3">
        <v>0</v>
      </c>
      <c r="G1008" s="8" t="s">
        <v>2771</v>
      </c>
      <c r="H1008" s="8" t="s">
        <v>5159</v>
      </c>
      <c r="I1008" s="3">
        <v>31</v>
      </c>
      <c r="J1008" s="3" t="s">
        <v>5495</v>
      </c>
      <c r="K1008" s="17" t="str">
        <f>HYPERLINK("http://ictvonline.org/taxonomyHistory.asp?taxnode_id=20171171","ICTVonline=20171171")</f>
        <v>ICTVonline=20171171</v>
      </c>
      <c r="L1008" s="3">
        <v>1007</v>
      </c>
    </row>
    <row r="1009" spans="1:12" x14ac:dyDescent="0.15">
      <c r="A1009" s="1" t="s">
        <v>1341</v>
      </c>
      <c r="B1009" s="1" t="s">
        <v>904</v>
      </c>
      <c r="D1009" s="1" t="s">
        <v>4625</v>
      </c>
      <c r="E1009" s="1" t="s">
        <v>4681</v>
      </c>
      <c r="F1009" s="3">
        <v>0</v>
      </c>
      <c r="G1009" s="8" t="s">
        <v>2771</v>
      </c>
      <c r="H1009" s="8" t="s">
        <v>5159</v>
      </c>
      <c r="I1009" s="3">
        <v>31</v>
      </c>
      <c r="J1009" s="3" t="s">
        <v>5495</v>
      </c>
      <c r="K1009" s="17" t="str">
        <f>HYPERLINK("http://ictvonline.org/taxonomyHistory.asp?taxnode_id=20171172","ICTVonline=20171172")</f>
        <v>ICTVonline=20171172</v>
      </c>
      <c r="L1009" s="3">
        <v>1008</v>
      </c>
    </row>
    <row r="1010" spans="1:12" x14ac:dyDescent="0.15">
      <c r="A1010" s="1" t="s">
        <v>1341</v>
      </c>
      <c r="B1010" s="1" t="s">
        <v>904</v>
      </c>
      <c r="D1010" s="1" t="s">
        <v>4625</v>
      </c>
      <c r="E1010" s="1" t="s">
        <v>4682</v>
      </c>
      <c r="F1010" s="3">
        <v>0</v>
      </c>
      <c r="G1010" s="8" t="s">
        <v>2771</v>
      </c>
      <c r="H1010" s="8" t="s">
        <v>5159</v>
      </c>
      <c r="I1010" s="3">
        <v>31</v>
      </c>
      <c r="J1010" s="3" t="s">
        <v>5495</v>
      </c>
      <c r="K1010" s="17" t="str">
        <f>HYPERLINK("http://ictvonline.org/taxonomyHistory.asp?taxnode_id=20171173","ICTVonline=20171173")</f>
        <v>ICTVonline=20171173</v>
      </c>
      <c r="L1010" s="3">
        <v>1009</v>
      </c>
    </row>
    <row r="1011" spans="1:12" x14ac:dyDescent="0.15">
      <c r="A1011" s="1" t="s">
        <v>1341</v>
      </c>
      <c r="B1011" s="1" t="s">
        <v>904</v>
      </c>
      <c r="D1011" s="1" t="s">
        <v>4683</v>
      </c>
      <c r="E1011" s="1" t="s">
        <v>4684</v>
      </c>
      <c r="F1011" s="3">
        <v>0</v>
      </c>
      <c r="G1011" s="8" t="s">
        <v>2771</v>
      </c>
      <c r="H1011" s="8" t="s">
        <v>5159</v>
      </c>
      <c r="I1011" s="3">
        <v>31</v>
      </c>
      <c r="J1011" s="3" t="s">
        <v>5496</v>
      </c>
      <c r="K1011" s="17" t="str">
        <f>HYPERLINK("http://ictvonline.org/taxonomyHistory.asp?taxnode_id=20171175","ICTVonline=20171175")</f>
        <v>ICTVonline=20171175</v>
      </c>
      <c r="L1011" s="3">
        <v>1010</v>
      </c>
    </row>
    <row r="1012" spans="1:12" x14ac:dyDescent="0.15">
      <c r="A1012" s="1" t="s">
        <v>1341</v>
      </c>
      <c r="B1012" s="1" t="s">
        <v>904</v>
      </c>
      <c r="D1012" s="1" t="s">
        <v>4683</v>
      </c>
      <c r="E1012" s="1" t="s">
        <v>4685</v>
      </c>
      <c r="F1012" s="3">
        <v>1</v>
      </c>
      <c r="G1012" s="8" t="s">
        <v>2771</v>
      </c>
      <c r="H1012" s="8" t="s">
        <v>5159</v>
      </c>
      <c r="I1012" s="3">
        <v>31</v>
      </c>
      <c r="J1012" s="3" t="s">
        <v>5496</v>
      </c>
      <c r="K1012" s="17" t="str">
        <f>HYPERLINK("http://ictvonline.org/taxonomyHistory.asp?taxnode_id=20171176","ICTVonline=20171176")</f>
        <v>ICTVonline=20171176</v>
      </c>
      <c r="L1012" s="3">
        <v>1011</v>
      </c>
    </row>
    <row r="1013" spans="1:12" x14ac:dyDescent="0.15">
      <c r="A1013" s="1" t="s">
        <v>1341</v>
      </c>
      <c r="B1013" s="1" t="s">
        <v>904</v>
      </c>
      <c r="D1013" s="1" t="s">
        <v>4292</v>
      </c>
      <c r="E1013" s="1" t="s">
        <v>3199</v>
      </c>
      <c r="F1013" s="3">
        <v>1</v>
      </c>
      <c r="G1013" s="8" t="s">
        <v>2771</v>
      </c>
      <c r="H1013" s="8" t="s">
        <v>5161</v>
      </c>
      <c r="I1013" s="3">
        <v>31</v>
      </c>
      <c r="J1013" s="3" t="s">
        <v>5497</v>
      </c>
      <c r="K1013" s="17" t="str">
        <f>HYPERLINK("http://ictvonline.org/taxonomyHistory.asp?taxnode_id=20171178","ICTVonline=20171178")</f>
        <v>ICTVonline=20171178</v>
      </c>
      <c r="L1013" s="3">
        <v>1012</v>
      </c>
    </row>
    <row r="1014" spans="1:12" x14ac:dyDescent="0.15">
      <c r="A1014" s="1" t="s">
        <v>1341</v>
      </c>
      <c r="B1014" s="1" t="s">
        <v>904</v>
      </c>
      <c r="D1014" s="1" t="s">
        <v>3398</v>
      </c>
      <c r="E1014" s="1" t="s">
        <v>3399</v>
      </c>
      <c r="F1014" s="3">
        <v>1</v>
      </c>
      <c r="G1014" s="8" t="s">
        <v>2771</v>
      </c>
      <c r="H1014" s="8" t="s">
        <v>5160</v>
      </c>
      <c r="I1014" s="3">
        <v>30</v>
      </c>
      <c r="J1014" s="3" t="s">
        <v>5297</v>
      </c>
      <c r="K1014" s="17" t="str">
        <f>HYPERLINK("http://ictvonline.org/taxonomyHistory.asp?taxnode_id=20171180","ICTVonline=20171180")</f>
        <v>ICTVonline=20171180</v>
      </c>
      <c r="L1014" s="3">
        <v>1013</v>
      </c>
    </row>
    <row r="1015" spans="1:12" x14ac:dyDescent="0.15">
      <c r="A1015" s="1" t="s">
        <v>1341</v>
      </c>
      <c r="B1015" s="1" t="s">
        <v>904</v>
      </c>
      <c r="D1015" s="1" t="s">
        <v>4686</v>
      </c>
      <c r="E1015" s="1" t="s">
        <v>4687</v>
      </c>
      <c r="F1015" s="3">
        <v>1</v>
      </c>
      <c r="G1015" s="8" t="s">
        <v>2771</v>
      </c>
      <c r="H1015" s="8" t="s">
        <v>5159</v>
      </c>
      <c r="I1015" s="3">
        <v>31</v>
      </c>
      <c r="J1015" s="3" t="s">
        <v>5498</v>
      </c>
      <c r="K1015" s="17" t="str">
        <f>HYPERLINK("http://ictvonline.org/taxonomyHistory.asp?taxnode_id=20171182","ICTVonline=20171182")</f>
        <v>ICTVonline=20171182</v>
      </c>
      <c r="L1015" s="3">
        <v>1014</v>
      </c>
    </row>
    <row r="1016" spans="1:12" x14ac:dyDescent="0.15">
      <c r="A1016" s="1" t="s">
        <v>1341</v>
      </c>
      <c r="B1016" s="1" t="s">
        <v>904</v>
      </c>
      <c r="D1016" s="1" t="s">
        <v>4686</v>
      </c>
      <c r="E1016" s="1" t="s">
        <v>4688</v>
      </c>
      <c r="F1016" s="3">
        <v>0</v>
      </c>
      <c r="G1016" s="8" t="s">
        <v>2771</v>
      </c>
      <c r="H1016" s="8" t="s">
        <v>5159</v>
      </c>
      <c r="I1016" s="3">
        <v>31</v>
      </c>
      <c r="J1016" s="3" t="s">
        <v>5498</v>
      </c>
      <c r="K1016" s="17" t="str">
        <f>HYPERLINK("http://ictvonline.org/taxonomyHistory.asp?taxnode_id=20171183","ICTVonline=20171183")</f>
        <v>ICTVonline=20171183</v>
      </c>
      <c r="L1016" s="3">
        <v>1015</v>
      </c>
    </row>
    <row r="1017" spans="1:12" x14ac:dyDescent="0.15">
      <c r="A1017" s="1" t="s">
        <v>1341</v>
      </c>
      <c r="B1017" s="1" t="s">
        <v>904</v>
      </c>
      <c r="D1017" s="1" t="s">
        <v>5499</v>
      </c>
      <c r="E1017" s="1" t="s">
        <v>5500</v>
      </c>
      <c r="F1017" s="3">
        <v>1</v>
      </c>
      <c r="G1017" s="8" t="s">
        <v>2771</v>
      </c>
      <c r="H1017" s="8" t="s">
        <v>5159</v>
      </c>
      <c r="I1017" s="3">
        <v>32</v>
      </c>
      <c r="J1017" s="3" t="s">
        <v>5501</v>
      </c>
      <c r="K1017" s="17" t="str">
        <f>HYPERLINK("http://ictvonline.org/taxonomyHistory.asp?taxnode_id=20175561","ICTVonline=20175561")</f>
        <v>ICTVonline=20175561</v>
      </c>
      <c r="L1017" s="3">
        <v>1016</v>
      </c>
    </row>
    <row r="1018" spans="1:12" x14ac:dyDescent="0.15">
      <c r="A1018" s="1" t="s">
        <v>1341</v>
      </c>
      <c r="B1018" s="1" t="s">
        <v>904</v>
      </c>
      <c r="D1018" s="1" t="s">
        <v>3413</v>
      </c>
      <c r="E1018" s="1" t="s">
        <v>3414</v>
      </c>
      <c r="F1018" s="3">
        <v>0</v>
      </c>
      <c r="G1018" s="8" t="s">
        <v>2771</v>
      </c>
      <c r="H1018" s="8" t="s">
        <v>5160</v>
      </c>
      <c r="I1018" s="3">
        <v>30</v>
      </c>
      <c r="J1018" s="3" t="s">
        <v>5297</v>
      </c>
      <c r="K1018" s="17" t="str">
        <f>HYPERLINK("http://ictvonline.org/taxonomyHistory.asp?taxnode_id=20171185","ICTVonline=20171185")</f>
        <v>ICTVonline=20171185</v>
      </c>
      <c r="L1018" s="3">
        <v>1017</v>
      </c>
    </row>
    <row r="1019" spans="1:12" x14ac:dyDescent="0.15">
      <c r="A1019" s="1" t="s">
        <v>1341</v>
      </c>
      <c r="B1019" s="1" t="s">
        <v>904</v>
      </c>
      <c r="D1019" s="1" t="s">
        <v>3413</v>
      </c>
      <c r="E1019" s="1" t="s">
        <v>3415</v>
      </c>
      <c r="F1019" s="3">
        <v>1</v>
      </c>
      <c r="G1019" s="8" t="s">
        <v>2771</v>
      </c>
      <c r="H1019" s="8" t="s">
        <v>5160</v>
      </c>
      <c r="I1019" s="3">
        <v>30</v>
      </c>
      <c r="J1019" s="3" t="s">
        <v>5297</v>
      </c>
      <c r="K1019" s="17" t="str">
        <f>HYPERLINK("http://ictvonline.org/taxonomyHistory.asp?taxnode_id=20171186","ICTVonline=20171186")</f>
        <v>ICTVonline=20171186</v>
      </c>
      <c r="L1019" s="3">
        <v>1018</v>
      </c>
    </row>
    <row r="1020" spans="1:12" x14ac:dyDescent="0.15">
      <c r="A1020" s="1" t="s">
        <v>1341</v>
      </c>
      <c r="B1020" s="1" t="s">
        <v>904</v>
      </c>
      <c r="D1020" s="1" t="s">
        <v>3413</v>
      </c>
      <c r="E1020" s="1" t="s">
        <v>3416</v>
      </c>
      <c r="F1020" s="3">
        <v>0</v>
      </c>
      <c r="G1020" s="8" t="s">
        <v>2771</v>
      </c>
      <c r="H1020" s="8" t="s">
        <v>5160</v>
      </c>
      <c r="I1020" s="3">
        <v>30</v>
      </c>
      <c r="J1020" s="3" t="s">
        <v>5297</v>
      </c>
      <c r="K1020" s="17" t="str">
        <f>HYPERLINK("http://ictvonline.org/taxonomyHistory.asp?taxnode_id=20171187","ICTVonline=20171187")</f>
        <v>ICTVonline=20171187</v>
      </c>
      <c r="L1020" s="3">
        <v>1019</v>
      </c>
    </row>
    <row r="1021" spans="1:12" x14ac:dyDescent="0.15">
      <c r="A1021" s="1" t="s">
        <v>1341</v>
      </c>
      <c r="B1021" s="1" t="s">
        <v>904</v>
      </c>
      <c r="D1021" s="1" t="s">
        <v>3417</v>
      </c>
      <c r="E1021" s="1" t="s">
        <v>3418</v>
      </c>
      <c r="F1021" s="3">
        <v>0</v>
      </c>
      <c r="G1021" s="8" t="s">
        <v>2771</v>
      </c>
      <c r="H1021" s="8" t="s">
        <v>5160</v>
      </c>
      <c r="I1021" s="3">
        <v>30</v>
      </c>
      <c r="J1021" s="3" t="s">
        <v>5297</v>
      </c>
      <c r="K1021" s="17" t="str">
        <f>HYPERLINK("http://ictvonline.org/taxonomyHistory.asp?taxnode_id=20171189","ICTVonline=20171189")</f>
        <v>ICTVonline=20171189</v>
      </c>
      <c r="L1021" s="3">
        <v>1020</v>
      </c>
    </row>
    <row r="1022" spans="1:12" x14ac:dyDescent="0.15">
      <c r="A1022" s="1" t="s">
        <v>1341</v>
      </c>
      <c r="B1022" s="1" t="s">
        <v>904</v>
      </c>
      <c r="D1022" s="1" t="s">
        <v>3417</v>
      </c>
      <c r="E1022" s="1" t="s">
        <v>3419</v>
      </c>
      <c r="F1022" s="3">
        <v>0</v>
      </c>
      <c r="G1022" s="8" t="s">
        <v>2771</v>
      </c>
      <c r="H1022" s="8" t="s">
        <v>5160</v>
      </c>
      <c r="I1022" s="3">
        <v>30</v>
      </c>
      <c r="J1022" s="3" t="s">
        <v>5297</v>
      </c>
      <c r="K1022" s="17" t="str">
        <f>HYPERLINK("http://ictvonline.org/taxonomyHistory.asp?taxnode_id=20171190","ICTVonline=20171190")</f>
        <v>ICTVonline=20171190</v>
      </c>
      <c r="L1022" s="3">
        <v>1021</v>
      </c>
    </row>
    <row r="1023" spans="1:12" x14ac:dyDescent="0.15">
      <c r="A1023" s="1" t="s">
        <v>1341</v>
      </c>
      <c r="B1023" s="1" t="s">
        <v>904</v>
      </c>
      <c r="D1023" s="1" t="s">
        <v>3417</v>
      </c>
      <c r="E1023" s="1" t="s">
        <v>3420</v>
      </c>
      <c r="F1023" s="3">
        <v>1</v>
      </c>
      <c r="G1023" s="8" t="s">
        <v>2771</v>
      </c>
      <c r="H1023" s="8" t="s">
        <v>5160</v>
      </c>
      <c r="I1023" s="3">
        <v>30</v>
      </c>
      <c r="J1023" s="3" t="s">
        <v>5297</v>
      </c>
      <c r="K1023" s="17" t="str">
        <f>HYPERLINK("http://ictvonline.org/taxonomyHistory.asp?taxnode_id=20171191","ICTVonline=20171191")</f>
        <v>ICTVonline=20171191</v>
      </c>
      <c r="L1023" s="3">
        <v>1022</v>
      </c>
    </row>
    <row r="1024" spans="1:12" x14ac:dyDescent="0.15">
      <c r="A1024" s="1" t="s">
        <v>1341</v>
      </c>
      <c r="B1024" s="1" t="s">
        <v>904</v>
      </c>
      <c r="D1024" s="1" t="s">
        <v>3417</v>
      </c>
      <c r="E1024" s="1" t="s">
        <v>3421</v>
      </c>
      <c r="F1024" s="3">
        <v>0</v>
      </c>
      <c r="G1024" s="8" t="s">
        <v>2771</v>
      </c>
      <c r="H1024" s="8" t="s">
        <v>5160</v>
      </c>
      <c r="I1024" s="3">
        <v>30</v>
      </c>
      <c r="J1024" s="3" t="s">
        <v>5297</v>
      </c>
      <c r="K1024" s="17" t="str">
        <f>HYPERLINK("http://ictvonline.org/taxonomyHistory.asp?taxnode_id=20171192","ICTVonline=20171192")</f>
        <v>ICTVonline=20171192</v>
      </c>
      <c r="L1024" s="3">
        <v>1023</v>
      </c>
    </row>
    <row r="1025" spans="1:12" x14ac:dyDescent="0.15">
      <c r="A1025" s="1" t="s">
        <v>1341</v>
      </c>
      <c r="B1025" s="1" t="s">
        <v>904</v>
      </c>
      <c r="D1025" s="1" t="s">
        <v>3417</v>
      </c>
      <c r="E1025" s="1" t="s">
        <v>3422</v>
      </c>
      <c r="F1025" s="3">
        <v>0</v>
      </c>
      <c r="G1025" s="8" t="s">
        <v>2771</v>
      </c>
      <c r="H1025" s="8" t="s">
        <v>5160</v>
      </c>
      <c r="I1025" s="3">
        <v>30</v>
      </c>
      <c r="J1025" s="3" t="s">
        <v>5297</v>
      </c>
      <c r="K1025" s="17" t="str">
        <f>HYPERLINK("http://ictvonline.org/taxonomyHistory.asp?taxnode_id=20171193","ICTVonline=20171193")</f>
        <v>ICTVonline=20171193</v>
      </c>
      <c r="L1025" s="3">
        <v>1024</v>
      </c>
    </row>
    <row r="1026" spans="1:12" x14ac:dyDescent="0.15">
      <c r="A1026" s="1" t="s">
        <v>1341</v>
      </c>
      <c r="B1026" s="1" t="s">
        <v>904</v>
      </c>
      <c r="D1026" s="1" t="s">
        <v>3423</v>
      </c>
      <c r="E1026" s="1" t="s">
        <v>3424</v>
      </c>
      <c r="F1026" s="3">
        <v>0</v>
      </c>
      <c r="G1026" s="8" t="s">
        <v>2771</v>
      </c>
      <c r="H1026" s="8" t="s">
        <v>5160</v>
      </c>
      <c r="I1026" s="3">
        <v>30</v>
      </c>
      <c r="J1026" s="3" t="s">
        <v>5297</v>
      </c>
      <c r="K1026" s="17" t="str">
        <f>HYPERLINK("http://ictvonline.org/taxonomyHistory.asp?taxnode_id=20171195","ICTVonline=20171195")</f>
        <v>ICTVonline=20171195</v>
      </c>
      <c r="L1026" s="3">
        <v>1025</v>
      </c>
    </row>
    <row r="1027" spans="1:12" x14ac:dyDescent="0.15">
      <c r="A1027" s="1" t="s">
        <v>1341</v>
      </c>
      <c r="B1027" s="1" t="s">
        <v>904</v>
      </c>
      <c r="D1027" s="1" t="s">
        <v>3423</v>
      </c>
      <c r="E1027" s="1" t="s">
        <v>3425</v>
      </c>
      <c r="F1027" s="3">
        <v>0</v>
      </c>
      <c r="G1027" s="8" t="s">
        <v>2771</v>
      </c>
      <c r="H1027" s="8" t="s">
        <v>5160</v>
      </c>
      <c r="I1027" s="3">
        <v>30</v>
      </c>
      <c r="J1027" s="3" t="s">
        <v>5297</v>
      </c>
      <c r="K1027" s="17" t="str">
        <f>HYPERLINK("http://ictvonline.org/taxonomyHistory.asp?taxnode_id=20171196","ICTVonline=20171196")</f>
        <v>ICTVonline=20171196</v>
      </c>
      <c r="L1027" s="3">
        <v>1026</v>
      </c>
    </row>
    <row r="1028" spans="1:12" x14ac:dyDescent="0.15">
      <c r="A1028" s="1" t="s">
        <v>1341</v>
      </c>
      <c r="B1028" s="1" t="s">
        <v>904</v>
      </c>
      <c r="D1028" s="1" t="s">
        <v>3423</v>
      </c>
      <c r="E1028" s="1" t="s">
        <v>3426</v>
      </c>
      <c r="F1028" s="3">
        <v>0</v>
      </c>
      <c r="G1028" s="8" t="s">
        <v>2771</v>
      </c>
      <c r="H1028" s="8" t="s">
        <v>5160</v>
      </c>
      <c r="I1028" s="3">
        <v>30</v>
      </c>
      <c r="J1028" s="3" t="s">
        <v>5297</v>
      </c>
      <c r="K1028" s="17" t="str">
        <f>HYPERLINK("http://ictvonline.org/taxonomyHistory.asp?taxnode_id=20171197","ICTVonline=20171197")</f>
        <v>ICTVonline=20171197</v>
      </c>
      <c r="L1028" s="3">
        <v>1027</v>
      </c>
    </row>
    <row r="1029" spans="1:12" x14ac:dyDescent="0.15">
      <c r="A1029" s="1" t="s">
        <v>1341</v>
      </c>
      <c r="B1029" s="1" t="s">
        <v>904</v>
      </c>
      <c r="D1029" s="1" t="s">
        <v>3423</v>
      </c>
      <c r="E1029" s="1" t="s">
        <v>3427</v>
      </c>
      <c r="F1029" s="3">
        <v>0</v>
      </c>
      <c r="G1029" s="8" t="s">
        <v>2771</v>
      </c>
      <c r="H1029" s="8" t="s">
        <v>5160</v>
      </c>
      <c r="I1029" s="3">
        <v>30</v>
      </c>
      <c r="J1029" s="3" t="s">
        <v>5297</v>
      </c>
      <c r="K1029" s="17" t="str">
        <f>HYPERLINK("http://ictvonline.org/taxonomyHistory.asp?taxnode_id=20171198","ICTVonline=20171198")</f>
        <v>ICTVonline=20171198</v>
      </c>
      <c r="L1029" s="3">
        <v>1028</v>
      </c>
    </row>
    <row r="1030" spans="1:12" x14ac:dyDescent="0.15">
      <c r="A1030" s="1" t="s">
        <v>1341</v>
      </c>
      <c r="B1030" s="1" t="s">
        <v>904</v>
      </c>
      <c r="D1030" s="1" t="s">
        <v>3423</v>
      </c>
      <c r="E1030" s="1" t="s">
        <v>3428</v>
      </c>
      <c r="F1030" s="3">
        <v>0</v>
      </c>
      <c r="G1030" s="8" t="s">
        <v>2771</v>
      </c>
      <c r="H1030" s="8" t="s">
        <v>5160</v>
      </c>
      <c r="I1030" s="3">
        <v>30</v>
      </c>
      <c r="J1030" s="3" t="s">
        <v>5297</v>
      </c>
      <c r="K1030" s="17" t="str">
        <f>HYPERLINK("http://ictvonline.org/taxonomyHistory.asp?taxnode_id=20171199","ICTVonline=20171199")</f>
        <v>ICTVonline=20171199</v>
      </c>
      <c r="L1030" s="3">
        <v>1029</v>
      </c>
    </row>
    <row r="1031" spans="1:12" x14ac:dyDescent="0.15">
      <c r="A1031" s="1" t="s">
        <v>1341</v>
      </c>
      <c r="B1031" s="1" t="s">
        <v>904</v>
      </c>
      <c r="D1031" s="1" t="s">
        <v>3423</v>
      </c>
      <c r="E1031" s="1" t="s">
        <v>3429</v>
      </c>
      <c r="F1031" s="3">
        <v>0</v>
      </c>
      <c r="G1031" s="8" t="s">
        <v>2771</v>
      </c>
      <c r="H1031" s="8" t="s">
        <v>5160</v>
      </c>
      <c r="I1031" s="3">
        <v>30</v>
      </c>
      <c r="J1031" s="3" t="s">
        <v>5297</v>
      </c>
      <c r="K1031" s="17" t="str">
        <f>HYPERLINK("http://ictvonline.org/taxonomyHistory.asp?taxnode_id=20171200","ICTVonline=20171200")</f>
        <v>ICTVonline=20171200</v>
      </c>
      <c r="L1031" s="3">
        <v>1030</v>
      </c>
    </row>
    <row r="1032" spans="1:12" x14ac:dyDescent="0.15">
      <c r="A1032" s="1" t="s">
        <v>1341</v>
      </c>
      <c r="B1032" s="1" t="s">
        <v>904</v>
      </c>
      <c r="D1032" s="1" t="s">
        <v>3423</v>
      </c>
      <c r="E1032" s="1" t="s">
        <v>3430</v>
      </c>
      <c r="F1032" s="3">
        <v>0</v>
      </c>
      <c r="G1032" s="8" t="s">
        <v>2771</v>
      </c>
      <c r="H1032" s="8" t="s">
        <v>5160</v>
      </c>
      <c r="I1032" s="3">
        <v>30</v>
      </c>
      <c r="J1032" s="3" t="s">
        <v>5297</v>
      </c>
      <c r="K1032" s="17" t="str">
        <f>HYPERLINK("http://ictvonline.org/taxonomyHistory.asp?taxnode_id=20171201","ICTVonline=20171201")</f>
        <v>ICTVonline=20171201</v>
      </c>
      <c r="L1032" s="3">
        <v>1031</v>
      </c>
    </row>
    <row r="1033" spans="1:12" x14ac:dyDescent="0.15">
      <c r="A1033" s="1" t="s">
        <v>1341</v>
      </c>
      <c r="B1033" s="1" t="s">
        <v>904</v>
      </c>
      <c r="D1033" s="1" t="s">
        <v>3423</v>
      </c>
      <c r="E1033" s="1" t="s">
        <v>3431</v>
      </c>
      <c r="F1033" s="3">
        <v>0</v>
      </c>
      <c r="G1033" s="8" t="s">
        <v>2771</v>
      </c>
      <c r="H1033" s="8" t="s">
        <v>5160</v>
      </c>
      <c r="I1033" s="3">
        <v>30</v>
      </c>
      <c r="J1033" s="3" t="s">
        <v>5297</v>
      </c>
      <c r="K1033" s="17" t="str">
        <f>HYPERLINK("http://ictvonline.org/taxonomyHistory.asp?taxnode_id=20171202","ICTVonline=20171202")</f>
        <v>ICTVonline=20171202</v>
      </c>
      <c r="L1033" s="3">
        <v>1032</v>
      </c>
    </row>
    <row r="1034" spans="1:12" x14ac:dyDescent="0.15">
      <c r="A1034" s="1" t="s">
        <v>1341</v>
      </c>
      <c r="B1034" s="1" t="s">
        <v>904</v>
      </c>
      <c r="D1034" s="1" t="s">
        <v>3423</v>
      </c>
      <c r="E1034" s="1" t="s">
        <v>3432</v>
      </c>
      <c r="F1034" s="3">
        <v>0</v>
      </c>
      <c r="G1034" s="8" t="s">
        <v>2771</v>
      </c>
      <c r="H1034" s="8" t="s">
        <v>5160</v>
      </c>
      <c r="I1034" s="3">
        <v>30</v>
      </c>
      <c r="J1034" s="3" t="s">
        <v>5297</v>
      </c>
      <c r="K1034" s="17" t="str">
        <f>HYPERLINK("http://ictvonline.org/taxonomyHistory.asp?taxnode_id=20171203","ICTVonline=20171203")</f>
        <v>ICTVonline=20171203</v>
      </c>
      <c r="L1034" s="3">
        <v>1033</v>
      </c>
    </row>
    <row r="1035" spans="1:12" x14ac:dyDescent="0.15">
      <c r="A1035" s="1" t="s">
        <v>1341</v>
      </c>
      <c r="B1035" s="1" t="s">
        <v>904</v>
      </c>
      <c r="D1035" s="1" t="s">
        <v>3423</v>
      </c>
      <c r="E1035" s="1" t="s">
        <v>3433</v>
      </c>
      <c r="F1035" s="3">
        <v>0</v>
      </c>
      <c r="G1035" s="8" t="s">
        <v>2771</v>
      </c>
      <c r="H1035" s="8" t="s">
        <v>5160</v>
      </c>
      <c r="I1035" s="3">
        <v>30</v>
      </c>
      <c r="J1035" s="3" t="s">
        <v>5297</v>
      </c>
      <c r="K1035" s="17" t="str">
        <f>HYPERLINK("http://ictvonline.org/taxonomyHistory.asp?taxnode_id=20171204","ICTVonline=20171204")</f>
        <v>ICTVonline=20171204</v>
      </c>
      <c r="L1035" s="3">
        <v>1034</v>
      </c>
    </row>
    <row r="1036" spans="1:12" x14ac:dyDescent="0.15">
      <c r="A1036" s="1" t="s">
        <v>1341</v>
      </c>
      <c r="B1036" s="1" t="s">
        <v>904</v>
      </c>
      <c r="D1036" s="1" t="s">
        <v>3423</v>
      </c>
      <c r="E1036" s="1" t="s">
        <v>3434</v>
      </c>
      <c r="F1036" s="3">
        <v>0</v>
      </c>
      <c r="G1036" s="8" t="s">
        <v>2771</v>
      </c>
      <c r="H1036" s="8" t="s">
        <v>5160</v>
      </c>
      <c r="I1036" s="3">
        <v>30</v>
      </c>
      <c r="J1036" s="3" t="s">
        <v>5297</v>
      </c>
      <c r="K1036" s="17" t="str">
        <f>HYPERLINK("http://ictvonline.org/taxonomyHistory.asp?taxnode_id=20171205","ICTVonline=20171205")</f>
        <v>ICTVonline=20171205</v>
      </c>
      <c r="L1036" s="3">
        <v>1035</v>
      </c>
    </row>
    <row r="1037" spans="1:12" x14ac:dyDescent="0.15">
      <c r="A1037" s="1" t="s">
        <v>1341</v>
      </c>
      <c r="B1037" s="1" t="s">
        <v>904</v>
      </c>
      <c r="D1037" s="1" t="s">
        <v>3423</v>
      </c>
      <c r="E1037" s="1" t="s">
        <v>3435</v>
      </c>
      <c r="F1037" s="3">
        <v>0</v>
      </c>
      <c r="G1037" s="8" t="s">
        <v>2771</v>
      </c>
      <c r="H1037" s="8" t="s">
        <v>5160</v>
      </c>
      <c r="I1037" s="3">
        <v>30</v>
      </c>
      <c r="J1037" s="3" t="s">
        <v>5297</v>
      </c>
      <c r="K1037" s="17" t="str">
        <f>HYPERLINK("http://ictvonline.org/taxonomyHistory.asp?taxnode_id=20171206","ICTVonline=20171206")</f>
        <v>ICTVonline=20171206</v>
      </c>
      <c r="L1037" s="3">
        <v>1036</v>
      </c>
    </row>
    <row r="1038" spans="1:12" x14ac:dyDescent="0.15">
      <c r="A1038" s="1" t="s">
        <v>1341</v>
      </c>
      <c r="B1038" s="1" t="s">
        <v>904</v>
      </c>
      <c r="D1038" s="1" t="s">
        <v>3423</v>
      </c>
      <c r="E1038" s="1" t="s">
        <v>3436</v>
      </c>
      <c r="F1038" s="3">
        <v>0</v>
      </c>
      <c r="G1038" s="8" t="s">
        <v>2771</v>
      </c>
      <c r="H1038" s="8" t="s">
        <v>5160</v>
      </c>
      <c r="I1038" s="3">
        <v>30</v>
      </c>
      <c r="J1038" s="3" t="s">
        <v>5297</v>
      </c>
      <c r="K1038" s="17" t="str">
        <f>HYPERLINK("http://ictvonline.org/taxonomyHistory.asp?taxnode_id=20171207","ICTVonline=20171207")</f>
        <v>ICTVonline=20171207</v>
      </c>
      <c r="L1038" s="3">
        <v>1037</v>
      </c>
    </row>
    <row r="1039" spans="1:12" x14ac:dyDescent="0.15">
      <c r="A1039" s="1" t="s">
        <v>1341</v>
      </c>
      <c r="B1039" s="1" t="s">
        <v>904</v>
      </c>
      <c r="D1039" s="1" t="s">
        <v>3423</v>
      </c>
      <c r="E1039" s="1" t="s">
        <v>3437</v>
      </c>
      <c r="F1039" s="3">
        <v>0</v>
      </c>
      <c r="G1039" s="8" t="s">
        <v>2771</v>
      </c>
      <c r="H1039" s="8" t="s">
        <v>5160</v>
      </c>
      <c r="I1039" s="3">
        <v>30</v>
      </c>
      <c r="J1039" s="3" t="s">
        <v>5297</v>
      </c>
      <c r="K1039" s="17" t="str">
        <f>HYPERLINK("http://ictvonline.org/taxonomyHistory.asp?taxnode_id=20171208","ICTVonline=20171208")</f>
        <v>ICTVonline=20171208</v>
      </c>
      <c r="L1039" s="3">
        <v>1038</v>
      </c>
    </row>
    <row r="1040" spans="1:12" x14ac:dyDescent="0.15">
      <c r="A1040" s="1" t="s">
        <v>1341</v>
      </c>
      <c r="B1040" s="1" t="s">
        <v>904</v>
      </c>
      <c r="D1040" s="1" t="s">
        <v>3423</v>
      </c>
      <c r="E1040" s="1" t="s">
        <v>3438</v>
      </c>
      <c r="F1040" s="3">
        <v>0</v>
      </c>
      <c r="G1040" s="8" t="s">
        <v>2771</v>
      </c>
      <c r="H1040" s="8" t="s">
        <v>5160</v>
      </c>
      <c r="I1040" s="3">
        <v>30</v>
      </c>
      <c r="J1040" s="3" t="s">
        <v>5297</v>
      </c>
      <c r="K1040" s="17" t="str">
        <f>HYPERLINK("http://ictvonline.org/taxonomyHistory.asp?taxnode_id=20171209","ICTVonline=20171209")</f>
        <v>ICTVonline=20171209</v>
      </c>
      <c r="L1040" s="3">
        <v>1039</v>
      </c>
    </row>
    <row r="1041" spans="1:12" x14ac:dyDescent="0.15">
      <c r="A1041" s="1" t="s">
        <v>1341</v>
      </c>
      <c r="B1041" s="1" t="s">
        <v>904</v>
      </c>
      <c r="D1041" s="1" t="s">
        <v>3423</v>
      </c>
      <c r="E1041" s="1" t="s">
        <v>3439</v>
      </c>
      <c r="F1041" s="3">
        <v>0</v>
      </c>
      <c r="G1041" s="8" t="s">
        <v>2771</v>
      </c>
      <c r="H1041" s="8" t="s">
        <v>5160</v>
      </c>
      <c r="I1041" s="3">
        <v>30</v>
      </c>
      <c r="J1041" s="3" t="s">
        <v>5297</v>
      </c>
      <c r="K1041" s="17" t="str">
        <f>HYPERLINK("http://ictvonline.org/taxonomyHistory.asp?taxnode_id=20171210","ICTVonline=20171210")</f>
        <v>ICTVonline=20171210</v>
      </c>
      <c r="L1041" s="3">
        <v>1040</v>
      </c>
    </row>
    <row r="1042" spans="1:12" x14ac:dyDescent="0.15">
      <c r="A1042" s="1" t="s">
        <v>1341</v>
      </c>
      <c r="B1042" s="1" t="s">
        <v>904</v>
      </c>
      <c r="D1042" s="1" t="s">
        <v>3423</v>
      </c>
      <c r="E1042" s="1" t="s">
        <v>3440</v>
      </c>
      <c r="F1042" s="3">
        <v>0</v>
      </c>
      <c r="G1042" s="8" t="s">
        <v>2771</v>
      </c>
      <c r="H1042" s="8" t="s">
        <v>5160</v>
      </c>
      <c r="I1042" s="3">
        <v>30</v>
      </c>
      <c r="J1042" s="3" t="s">
        <v>5297</v>
      </c>
      <c r="K1042" s="17" t="str">
        <f>HYPERLINK("http://ictvonline.org/taxonomyHistory.asp?taxnode_id=20171211","ICTVonline=20171211")</f>
        <v>ICTVonline=20171211</v>
      </c>
      <c r="L1042" s="3">
        <v>1041</v>
      </c>
    </row>
    <row r="1043" spans="1:12" x14ac:dyDescent="0.15">
      <c r="A1043" s="1" t="s">
        <v>1341</v>
      </c>
      <c r="B1043" s="1" t="s">
        <v>904</v>
      </c>
      <c r="D1043" s="1" t="s">
        <v>3423</v>
      </c>
      <c r="E1043" s="1" t="s">
        <v>3441</v>
      </c>
      <c r="F1043" s="3">
        <v>0</v>
      </c>
      <c r="G1043" s="8" t="s">
        <v>2771</v>
      </c>
      <c r="H1043" s="8" t="s">
        <v>5160</v>
      </c>
      <c r="I1043" s="3">
        <v>30</v>
      </c>
      <c r="J1043" s="3" t="s">
        <v>5297</v>
      </c>
      <c r="K1043" s="17" t="str">
        <f>HYPERLINK("http://ictvonline.org/taxonomyHistory.asp?taxnode_id=20171212","ICTVonline=20171212")</f>
        <v>ICTVonline=20171212</v>
      </c>
      <c r="L1043" s="3">
        <v>1042</v>
      </c>
    </row>
    <row r="1044" spans="1:12" x14ac:dyDescent="0.15">
      <c r="A1044" s="1" t="s">
        <v>1341</v>
      </c>
      <c r="B1044" s="1" t="s">
        <v>904</v>
      </c>
      <c r="D1044" s="1" t="s">
        <v>3423</v>
      </c>
      <c r="E1044" s="1" t="s">
        <v>3442</v>
      </c>
      <c r="F1044" s="3">
        <v>0</v>
      </c>
      <c r="G1044" s="8" t="s">
        <v>2771</v>
      </c>
      <c r="H1044" s="8" t="s">
        <v>5160</v>
      </c>
      <c r="I1044" s="3">
        <v>30</v>
      </c>
      <c r="J1044" s="3" t="s">
        <v>5297</v>
      </c>
      <c r="K1044" s="17" t="str">
        <f>HYPERLINK("http://ictvonline.org/taxonomyHistory.asp?taxnode_id=20171213","ICTVonline=20171213")</f>
        <v>ICTVonline=20171213</v>
      </c>
      <c r="L1044" s="3">
        <v>1043</v>
      </c>
    </row>
    <row r="1045" spans="1:12" x14ac:dyDescent="0.15">
      <c r="A1045" s="1" t="s">
        <v>1341</v>
      </c>
      <c r="B1045" s="1" t="s">
        <v>904</v>
      </c>
      <c r="D1045" s="1" t="s">
        <v>3423</v>
      </c>
      <c r="E1045" s="1" t="s">
        <v>3443</v>
      </c>
      <c r="F1045" s="3">
        <v>0</v>
      </c>
      <c r="G1045" s="8" t="s">
        <v>2771</v>
      </c>
      <c r="H1045" s="8" t="s">
        <v>5160</v>
      </c>
      <c r="I1045" s="3">
        <v>30</v>
      </c>
      <c r="J1045" s="3" t="s">
        <v>5297</v>
      </c>
      <c r="K1045" s="17" t="str">
        <f>HYPERLINK("http://ictvonline.org/taxonomyHistory.asp?taxnode_id=20171214","ICTVonline=20171214")</f>
        <v>ICTVonline=20171214</v>
      </c>
      <c r="L1045" s="3">
        <v>1044</v>
      </c>
    </row>
    <row r="1046" spans="1:12" x14ac:dyDescent="0.15">
      <c r="A1046" s="1" t="s">
        <v>1341</v>
      </c>
      <c r="B1046" s="1" t="s">
        <v>904</v>
      </c>
      <c r="D1046" s="1" t="s">
        <v>3423</v>
      </c>
      <c r="E1046" s="1" t="s">
        <v>3444</v>
      </c>
      <c r="F1046" s="3">
        <v>0</v>
      </c>
      <c r="G1046" s="8" t="s">
        <v>2771</v>
      </c>
      <c r="H1046" s="8" t="s">
        <v>5160</v>
      </c>
      <c r="I1046" s="3">
        <v>30</v>
      </c>
      <c r="J1046" s="3" t="s">
        <v>5297</v>
      </c>
      <c r="K1046" s="17" t="str">
        <f>HYPERLINK("http://ictvonline.org/taxonomyHistory.asp?taxnode_id=20171215","ICTVonline=20171215")</f>
        <v>ICTVonline=20171215</v>
      </c>
      <c r="L1046" s="3">
        <v>1045</v>
      </c>
    </row>
    <row r="1047" spans="1:12" x14ac:dyDescent="0.15">
      <c r="A1047" s="1" t="s">
        <v>1341</v>
      </c>
      <c r="B1047" s="1" t="s">
        <v>904</v>
      </c>
      <c r="D1047" s="1" t="s">
        <v>3423</v>
      </c>
      <c r="E1047" s="1" t="s">
        <v>3445</v>
      </c>
      <c r="F1047" s="3">
        <v>1</v>
      </c>
      <c r="G1047" s="8" t="s">
        <v>2771</v>
      </c>
      <c r="H1047" s="8" t="s">
        <v>5160</v>
      </c>
      <c r="I1047" s="3">
        <v>30</v>
      </c>
      <c r="J1047" s="3" t="s">
        <v>5297</v>
      </c>
      <c r="K1047" s="17" t="str">
        <f>HYPERLINK("http://ictvonline.org/taxonomyHistory.asp?taxnode_id=20171216","ICTVonline=20171216")</f>
        <v>ICTVonline=20171216</v>
      </c>
      <c r="L1047" s="3">
        <v>1046</v>
      </c>
    </row>
    <row r="1048" spans="1:12" x14ac:dyDescent="0.15">
      <c r="A1048" s="1" t="s">
        <v>1341</v>
      </c>
      <c r="B1048" s="1" t="s">
        <v>904</v>
      </c>
      <c r="D1048" s="1" t="s">
        <v>3423</v>
      </c>
      <c r="E1048" s="1" t="s">
        <v>3446</v>
      </c>
      <c r="F1048" s="3">
        <v>0</v>
      </c>
      <c r="G1048" s="8" t="s">
        <v>2771</v>
      </c>
      <c r="H1048" s="8" t="s">
        <v>5160</v>
      </c>
      <c r="I1048" s="3">
        <v>30</v>
      </c>
      <c r="J1048" s="3" t="s">
        <v>5297</v>
      </c>
      <c r="K1048" s="17" t="str">
        <f>HYPERLINK("http://ictvonline.org/taxonomyHistory.asp?taxnode_id=20171217","ICTVonline=20171217")</f>
        <v>ICTVonline=20171217</v>
      </c>
      <c r="L1048" s="3">
        <v>1047</v>
      </c>
    </row>
    <row r="1049" spans="1:12" x14ac:dyDescent="0.15">
      <c r="A1049" s="1" t="s">
        <v>1341</v>
      </c>
      <c r="B1049" s="1" t="s">
        <v>904</v>
      </c>
      <c r="D1049" s="1" t="s">
        <v>3423</v>
      </c>
      <c r="E1049" s="1" t="s">
        <v>3447</v>
      </c>
      <c r="F1049" s="3">
        <v>0</v>
      </c>
      <c r="G1049" s="8" t="s">
        <v>2771</v>
      </c>
      <c r="H1049" s="8" t="s">
        <v>5160</v>
      </c>
      <c r="I1049" s="3">
        <v>30</v>
      </c>
      <c r="J1049" s="3" t="s">
        <v>5297</v>
      </c>
      <c r="K1049" s="17" t="str">
        <f>HYPERLINK("http://ictvonline.org/taxonomyHistory.asp?taxnode_id=20171218","ICTVonline=20171218")</f>
        <v>ICTVonline=20171218</v>
      </c>
      <c r="L1049" s="3">
        <v>1048</v>
      </c>
    </row>
    <row r="1050" spans="1:12" x14ac:dyDescent="0.15">
      <c r="A1050" s="1" t="s">
        <v>1341</v>
      </c>
      <c r="B1050" s="1" t="s">
        <v>904</v>
      </c>
      <c r="D1050" s="1" t="s">
        <v>3423</v>
      </c>
      <c r="E1050" s="1" t="s">
        <v>3448</v>
      </c>
      <c r="F1050" s="3">
        <v>0</v>
      </c>
      <c r="G1050" s="8" t="s">
        <v>2771</v>
      </c>
      <c r="H1050" s="8" t="s">
        <v>5160</v>
      </c>
      <c r="I1050" s="3">
        <v>30</v>
      </c>
      <c r="J1050" s="3" t="s">
        <v>5297</v>
      </c>
      <c r="K1050" s="17" t="str">
        <f>HYPERLINK("http://ictvonline.org/taxonomyHistory.asp?taxnode_id=20171219","ICTVonline=20171219")</f>
        <v>ICTVonline=20171219</v>
      </c>
      <c r="L1050" s="3">
        <v>1049</v>
      </c>
    </row>
    <row r="1051" spans="1:12" x14ac:dyDescent="0.15">
      <c r="A1051" s="1" t="s">
        <v>1341</v>
      </c>
      <c r="B1051" s="1" t="s">
        <v>904</v>
      </c>
      <c r="D1051" s="1" t="s">
        <v>3423</v>
      </c>
      <c r="E1051" s="1" t="s">
        <v>3449</v>
      </c>
      <c r="F1051" s="3">
        <v>0</v>
      </c>
      <c r="G1051" s="8" t="s">
        <v>2771</v>
      </c>
      <c r="H1051" s="8" t="s">
        <v>5160</v>
      </c>
      <c r="I1051" s="3">
        <v>30</v>
      </c>
      <c r="J1051" s="3" t="s">
        <v>5297</v>
      </c>
      <c r="K1051" s="17" t="str">
        <f>HYPERLINK("http://ictvonline.org/taxonomyHistory.asp?taxnode_id=20171220","ICTVonline=20171220")</f>
        <v>ICTVonline=20171220</v>
      </c>
      <c r="L1051" s="3">
        <v>1050</v>
      </c>
    </row>
    <row r="1052" spans="1:12" x14ac:dyDescent="0.15">
      <c r="A1052" s="1" t="s">
        <v>1341</v>
      </c>
      <c r="B1052" s="1" t="s">
        <v>904</v>
      </c>
      <c r="D1052" s="1" t="s">
        <v>3423</v>
      </c>
      <c r="E1052" s="1" t="s">
        <v>3450</v>
      </c>
      <c r="F1052" s="3">
        <v>0</v>
      </c>
      <c r="G1052" s="8" t="s">
        <v>2771</v>
      </c>
      <c r="H1052" s="8" t="s">
        <v>5160</v>
      </c>
      <c r="I1052" s="3">
        <v>30</v>
      </c>
      <c r="J1052" s="3" t="s">
        <v>5297</v>
      </c>
      <c r="K1052" s="17" t="str">
        <f>HYPERLINK("http://ictvonline.org/taxonomyHistory.asp?taxnode_id=20171221","ICTVonline=20171221")</f>
        <v>ICTVonline=20171221</v>
      </c>
      <c r="L1052" s="3">
        <v>1051</v>
      </c>
    </row>
    <row r="1053" spans="1:12" x14ac:dyDescent="0.15">
      <c r="A1053" s="1" t="s">
        <v>1341</v>
      </c>
      <c r="B1053" s="1" t="s">
        <v>904</v>
      </c>
      <c r="D1053" s="1" t="s">
        <v>3423</v>
      </c>
      <c r="E1053" s="1" t="s">
        <v>3451</v>
      </c>
      <c r="F1053" s="3">
        <v>0</v>
      </c>
      <c r="G1053" s="8" t="s">
        <v>2771</v>
      </c>
      <c r="H1053" s="8" t="s">
        <v>5160</v>
      </c>
      <c r="I1053" s="3">
        <v>30</v>
      </c>
      <c r="J1053" s="3" t="s">
        <v>5297</v>
      </c>
      <c r="K1053" s="17" t="str">
        <f>HYPERLINK("http://ictvonline.org/taxonomyHistory.asp?taxnode_id=20171222","ICTVonline=20171222")</f>
        <v>ICTVonline=20171222</v>
      </c>
      <c r="L1053" s="3">
        <v>1052</v>
      </c>
    </row>
    <row r="1054" spans="1:12" x14ac:dyDescent="0.15">
      <c r="A1054" s="1" t="s">
        <v>1341</v>
      </c>
      <c r="B1054" s="1" t="s">
        <v>904</v>
      </c>
      <c r="D1054" s="1" t="s">
        <v>3423</v>
      </c>
      <c r="E1054" s="1" t="s">
        <v>3452</v>
      </c>
      <c r="F1054" s="3">
        <v>0</v>
      </c>
      <c r="G1054" s="8" t="s">
        <v>2771</v>
      </c>
      <c r="H1054" s="8" t="s">
        <v>5160</v>
      </c>
      <c r="I1054" s="3">
        <v>30</v>
      </c>
      <c r="J1054" s="3" t="s">
        <v>5297</v>
      </c>
      <c r="K1054" s="17" t="str">
        <f>HYPERLINK("http://ictvonline.org/taxonomyHistory.asp?taxnode_id=20171223","ICTVonline=20171223")</f>
        <v>ICTVonline=20171223</v>
      </c>
      <c r="L1054" s="3">
        <v>1053</v>
      </c>
    </row>
    <row r="1055" spans="1:12" x14ac:dyDescent="0.15">
      <c r="A1055" s="1" t="s">
        <v>1341</v>
      </c>
      <c r="B1055" s="1" t="s">
        <v>904</v>
      </c>
      <c r="D1055" s="1" t="s">
        <v>3423</v>
      </c>
      <c r="E1055" s="1" t="s">
        <v>3453</v>
      </c>
      <c r="F1055" s="3">
        <v>0</v>
      </c>
      <c r="G1055" s="8" t="s">
        <v>2771</v>
      </c>
      <c r="H1055" s="8" t="s">
        <v>5160</v>
      </c>
      <c r="I1055" s="3">
        <v>30</v>
      </c>
      <c r="J1055" s="3" t="s">
        <v>5297</v>
      </c>
      <c r="K1055" s="17" t="str">
        <f>HYPERLINK("http://ictvonline.org/taxonomyHistory.asp?taxnode_id=20171224","ICTVonline=20171224")</f>
        <v>ICTVonline=20171224</v>
      </c>
      <c r="L1055" s="3">
        <v>1054</v>
      </c>
    </row>
    <row r="1056" spans="1:12" x14ac:dyDescent="0.15">
      <c r="A1056" s="1" t="s">
        <v>1341</v>
      </c>
      <c r="B1056" s="1" t="s">
        <v>904</v>
      </c>
      <c r="D1056" s="1" t="s">
        <v>3423</v>
      </c>
      <c r="E1056" s="1" t="s">
        <v>3454</v>
      </c>
      <c r="F1056" s="3">
        <v>0</v>
      </c>
      <c r="G1056" s="8" t="s">
        <v>2771</v>
      </c>
      <c r="H1056" s="8" t="s">
        <v>5160</v>
      </c>
      <c r="I1056" s="3">
        <v>30</v>
      </c>
      <c r="J1056" s="3" t="s">
        <v>5297</v>
      </c>
      <c r="K1056" s="17" t="str">
        <f>HYPERLINK("http://ictvonline.org/taxonomyHistory.asp?taxnode_id=20171225","ICTVonline=20171225")</f>
        <v>ICTVonline=20171225</v>
      </c>
      <c r="L1056" s="3">
        <v>1055</v>
      </c>
    </row>
    <row r="1057" spans="1:12" x14ac:dyDescent="0.15">
      <c r="A1057" s="1" t="s">
        <v>1341</v>
      </c>
      <c r="B1057" s="1" t="s">
        <v>904</v>
      </c>
      <c r="D1057" s="1" t="s">
        <v>3455</v>
      </c>
      <c r="E1057" s="1" t="s">
        <v>3456</v>
      </c>
      <c r="F1057" s="3">
        <v>1</v>
      </c>
      <c r="G1057" s="8" t="s">
        <v>2771</v>
      </c>
      <c r="H1057" s="8" t="s">
        <v>5160</v>
      </c>
      <c r="I1057" s="3">
        <v>30</v>
      </c>
      <c r="J1057" s="3" t="s">
        <v>5297</v>
      </c>
      <c r="K1057" s="17" t="str">
        <f>HYPERLINK("http://ictvonline.org/taxonomyHistory.asp?taxnode_id=20171227","ICTVonline=20171227")</f>
        <v>ICTVonline=20171227</v>
      </c>
      <c r="L1057" s="3">
        <v>1056</v>
      </c>
    </row>
    <row r="1058" spans="1:12" x14ac:dyDescent="0.15">
      <c r="A1058" s="1" t="s">
        <v>1341</v>
      </c>
      <c r="B1058" s="1" t="s">
        <v>904</v>
      </c>
      <c r="D1058" s="1" t="s">
        <v>3455</v>
      </c>
      <c r="E1058" s="1" t="s">
        <v>3457</v>
      </c>
      <c r="F1058" s="3">
        <v>0</v>
      </c>
      <c r="G1058" s="8" t="s">
        <v>2771</v>
      </c>
      <c r="H1058" s="8" t="s">
        <v>5160</v>
      </c>
      <c r="I1058" s="3">
        <v>30</v>
      </c>
      <c r="J1058" s="3" t="s">
        <v>5297</v>
      </c>
      <c r="K1058" s="17" t="str">
        <f>HYPERLINK("http://ictvonline.org/taxonomyHistory.asp?taxnode_id=20171228","ICTVonline=20171228")</f>
        <v>ICTVonline=20171228</v>
      </c>
      <c r="L1058" s="3">
        <v>1057</v>
      </c>
    </row>
    <row r="1059" spans="1:12" x14ac:dyDescent="0.15">
      <c r="A1059" s="1" t="s">
        <v>1341</v>
      </c>
      <c r="B1059" s="1" t="s">
        <v>904</v>
      </c>
      <c r="D1059" s="1" t="s">
        <v>3455</v>
      </c>
      <c r="E1059" s="1" t="s">
        <v>3458</v>
      </c>
      <c r="F1059" s="3">
        <v>0</v>
      </c>
      <c r="G1059" s="8" t="s">
        <v>2771</v>
      </c>
      <c r="H1059" s="8" t="s">
        <v>5160</v>
      </c>
      <c r="I1059" s="3">
        <v>30</v>
      </c>
      <c r="J1059" s="3" t="s">
        <v>5297</v>
      </c>
      <c r="K1059" s="17" t="str">
        <f>HYPERLINK("http://ictvonline.org/taxonomyHistory.asp?taxnode_id=20171229","ICTVonline=20171229")</f>
        <v>ICTVonline=20171229</v>
      </c>
      <c r="L1059" s="3">
        <v>1058</v>
      </c>
    </row>
    <row r="1060" spans="1:12" x14ac:dyDescent="0.15">
      <c r="A1060" s="1" t="s">
        <v>1341</v>
      </c>
      <c r="B1060" s="1" t="s">
        <v>904</v>
      </c>
      <c r="D1060" s="1" t="s">
        <v>3459</v>
      </c>
      <c r="E1060" s="1" t="s">
        <v>3460</v>
      </c>
      <c r="F1060" s="3">
        <v>0</v>
      </c>
      <c r="G1060" s="8" t="s">
        <v>2771</v>
      </c>
      <c r="H1060" s="8" t="s">
        <v>5160</v>
      </c>
      <c r="I1060" s="3">
        <v>30</v>
      </c>
      <c r="J1060" s="3" t="s">
        <v>5297</v>
      </c>
      <c r="K1060" s="17" t="str">
        <f>HYPERLINK("http://ictvonline.org/taxonomyHistory.asp?taxnode_id=20171231","ICTVonline=20171231")</f>
        <v>ICTVonline=20171231</v>
      </c>
      <c r="L1060" s="3">
        <v>1059</v>
      </c>
    </row>
    <row r="1061" spans="1:12" x14ac:dyDescent="0.15">
      <c r="A1061" s="1" t="s">
        <v>1341</v>
      </c>
      <c r="B1061" s="1" t="s">
        <v>904</v>
      </c>
      <c r="D1061" s="1" t="s">
        <v>3459</v>
      </c>
      <c r="E1061" s="1" t="s">
        <v>3461</v>
      </c>
      <c r="F1061" s="3">
        <v>1</v>
      </c>
      <c r="G1061" s="8" t="s">
        <v>2771</v>
      </c>
      <c r="H1061" s="8" t="s">
        <v>5160</v>
      </c>
      <c r="I1061" s="3">
        <v>30</v>
      </c>
      <c r="J1061" s="3" t="s">
        <v>5297</v>
      </c>
      <c r="K1061" s="17" t="str">
        <f>HYPERLINK("http://ictvonline.org/taxonomyHistory.asp?taxnode_id=20171232","ICTVonline=20171232")</f>
        <v>ICTVonline=20171232</v>
      </c>
      <c r="L1061" s="3">
        <v>1060</v>
      </c>
    </row>
    <row r="1062" spans="1:12" x14ac:dyDescent="0.15">
      <c r="A1062" s="1" t="s">
        <v>1341</v>
      </c>
      <c r="B1062" s="1" t="s">
        <v>904</v>
      </c>
      <c r="D1062" s="1" t="s">
        <v>3459</v>
      </c>
      <c r="E1062" s="1" t="s">
        <v>3462</v>
      </c>
      <c r="F1062" s="3">
        <v>0</v>
      </c>
      <c r="G1062" s="8" t="s">
        <v>2771</v>
      </c>
      <c r="H1062" s="8" t="s">
        <v>5160</v>
      </c>
      <c r="I1062" s="3">
        <v>30</v>
      </c>
      <c r="J1062" s="3" t="s">
        <v>5297</v>
      </c>
      <c r="K1062" s="17" t="str">
        <f>HYPERLINK("http://ictvonline.org/taxonomyHistory.asp?taxnode_id=20171233","ICTVonline=20171233")</f>
        <v>ICTVonline=20171233</v>
      </c>
      <c r="L1062" s="3">
        <v>1061</v>
      </c>
    </row>
    <row r="1063" spans="1:12" x14ac:dyDescent="0.15">
      <c r="A1063" s="1" t="s">
        <v>1341</v>
      </c>
      <c r="B1063" s="1" t="s">
        <v>904</v>
      </c>
      <c r="D1063" s="1" t="s">
        <v>4689</v>
      </c>
      <c r="E1063" s="1" t="s">
        <v>4690</v>
      </c>
      <c r="F1063" s="3">
        <v>1</v>
      </c>
      <c r="G1063" s="8" t="s">
        <v>2771</v>
      </c>
      <c r="H1063" s="8" t="s">
        <v>5159</v>
      </c>
      <c r="I1063" s="3">
        <v>31</v>
      </c>
      <c r="J1063" s="3" t="s">
        <v>5502</v>
      </c>
      <c r="K1063" s="17" t="str">
        <f>HYPERLINK("http://ictvonline.org/taxonomyHistory.asp?taxnode_id=20171235","ICTVonline=20171235")</f>
        <v>ICTVonline=20171235</v>
      </c>
      <c r="L1063" s="3">
        <v>1062</v>
      </c>
    </row>
    <row r="1064" spans="1:12" x14ac:dyDescent="0.15">
      <c r="A1064" s="1" t="s">
        <v>1341</v>
      </c>
      <c r="B1064" s="1" t="s">
        <v>904</v>
      </c>
      <c r="D1064" s="1" t="s">
        <v>3463</v>
      </c>
      <c r="E1064" s="1" t="s">
        <v>3464</v>
      </c>
      <c r="F1064" s="3">
        <v>0</v>
      </c>
      <c r="G1064" s="8" t="s">
        <v>2771</v>
      </c>
      <c r="H1064" s="8" t="s">
        <v>5159</v>
      </c>
      <c r="I1064" s="3">
        <v>30</v>
      </c>
      <c r="J1064" s="3" t="s">
        <v>5503</v>
      </c>
      <c r="K1064" s="17" t="str">
        <f>HYPERLINK("http://ictvonline.org/taxonomyHistory.asp?taxnode_id=20171237","ICTVonline=20171237")</f>
        <v>ICTVonline=20171237</v>
      </c>
      <c r="L1064" s="3">
        <v>1063</v>
      </c>
    </row>
    <row r="1065" spans="1:12" x14ac:dyDescent="0.15">
      <c r="A1065" s="1" t="s">
        <v>1341</v>
      </c>
      <c r="B1065" s="1" t="s">
        <v>904</v>
      </c>
      <c r="D1065" s="1" t="s">
        <v>3463</v>
      </c>
      <c r="E1065" s="1" t="s">
        <v>3465</v>
      </c>
      <c r="F1065" s="3">
        <v>1</v>
      </c>
      <c r="G1065" s="8" t="s">
        <v>2771</v>
      </c>
      <c r="H1065" s="8" t="s">
        <v>5159</v>
      </c>
      <c r="I1065" s="3">
        <v>30</v>
      </c>
      <c r="J1065" s="3" t="s">
        <v>5503</v>
      </c>
      <c r="K1065" s="17" t="str">
        <f>HYPERLINK("http://ictvonline.org/taxonomyHistory.asp?taxnode_id=20171238","ICTVonline=20171238")</f>
        <v>ICTVonline=20171238</v>
      </c>
      <c r="L1065" s="3">
        <v>1064</v>
      </c>
    </row>
    <row r="1066" spans="1:12" x14ac:dyDescent="0.15">
      <c r="A1066" s="1" t="s">
        <v>1341</v>
      </c>
      <c r="B1066" s="1" t="s">
        <v>904</v>
      </c>
      <c r="D1066" s="1" t="s">
        <v>3466</v>
      </c>
      <c r="E1066" s="1" t="s">
        <v>3467</v>
      </c>
      <c r="F1066" s="3">
        <v>1</v>
      </c>
      <c r="G1066" s="8" t="s">
        <v>2771</v>
      </c>
      <c r="H1066" s="8" t="s">
        <v>5160</v>
      </c>
      <c r="I1066" s="3">
        <v>30</v>
      </c>
      <c r="J1066" s="3" t="s">
        <v>5297</v>
      </c>
      <c r="K1066" s="17" t="str">
        <f>HYPERLINK("http://ictvonline.org/taxonomyHistory.asp?taxnode_id=20171240","ICTVonline=20171240")</f>
        <v>ICTVonline=20171240</v>
      </c>
      <c r="L1066" s="3">
        <v>1065</v>
      </c>
    </row>
    <row r="1067" spans="1:12" x14ac:dyDescent="0.15">
      <c r="A1067" s="1" t="s">
        <v>1341</v>
      </c>
      <c r="B1067" s="1" t="s">
        <v>904</v>
      </c>
      <c r="D1067" s="1" t="s">
        <v>4691</v>
      </c>
      <c r="E1067" s="1" t="s">
        <v>4692</v>
      </c>
      <c r="F1067" s="3">
        <v>1</v>
      </c>
      <c r="G1067" s="8" t="s">
        <v>2771</v>
      </c>
      <c r="H1067" s="8" t="s">
        <v>5159</v>
      </c>
      <c r="I1067" s="3">
        <v>31</v>
      </c>
      <c r="J1067" s="3" t="s">
        <v>5504</v>
      </c>
      <c r="K1067" s="17" t="str">
        <f>HYPERLINK("http://ictvonline.org/taxonomyHistory.asp?taxnode_id=20171242","ICTVonline=20171242")</f>
        <v>ICTVonline=20171242</v>
      </c>
      <c r="L1067" s="3">
        <v>1066</v>
      </c>
    </row>
    <row r="1068" spans="1:12" x14ac:dyDescent="0.15">
      <c r="A1068" s="1" t="s">
        <v>1341</v>
      </c>
      <c r="B1068" s="1" t="s">
        <v>904</v>
      </c>
      <c r="D1068" s="1" t="s">
        <v>4691</v>
      </c>
      <c r="E1068" s="1" t="s">
        <v>4693</v>
      </c>
      <c r="F1068" s="3">
        <v>0</v>
      </c>
      <c r="G1068" s="8" t="s">
        <v>2771</v>
      </c>
      <c r="H1068" s="8" t="s">
        <v>5159</v>
      </c>
      <c r="I1068" s="3">
        <v>31</v>
      </c>
      <c r="J1068" s="3" t="s">
        <v>5504</v>
      </c>
      <c r="K1068" s="17" t="str">
        <f>HYPERLINK("http://ictvonline.org/taxonomyHistory.asp?taxnode_id=20171243","ICTVonline=20171243")</f>
        <v>ICTVonline=20171243</v>
      </c>
      <c r="L1068" s="3">
        <v>1067</v>
      </c>
    </row>
    <row r="1069" spans="1:12" x14ac:dyDescent="0.15">
      <c r="A1069" s="1" t="s">
        <v>1341</v>
      </c>
      <c r="B1069" s="1" t="s">
        <v>904</v>
      </c>
      <c r="D1069" s="1" t="s">
        <v>4293</v>
      </c>
      <c r="E1069" s="1" t="s">
        <v>3366</v>
      </c>
      <c r="F1069" s="3">
        <v>1</v>
      </c>
      <c r="G1069" s="8" t="s">
        <v>2771</v>
      </c>
      <c r="H1069" s="8" t="s">
        <v>5161</v>
      </c>
      <c r="I1069" s="3">
        <v>31</v>
      </c>
      <c r="J1069" s="3" t="s">
        <v>5505</v>
      </c>
      <c r="K1069" s="17" t="str">
        <f>HYPERLINK("http://ictvonline.org/taxonomyHistory.asp?taxnode_id=20171245","ICTVonline=20171245")</f>
        <v>ICTVonline=20171245</v>
      </c>
      <c r="L1069" s="3">
        <v>1068</v>
      </c>
    </row>
    <row r="1070" spans="1:12" x14ac:dyDescent="0.15">
      <c r="A1070" s="1" t="s">
        <v>1341</v>
      </c>
      <c r="B1070" s="1" t="s">
        <v>904</v>
      </c>
      <c r="D1070" s="1" t="s">
        <v>3471</v>
      </c>
      <c r="E1070" s="1" t="s">
        <v>3472</v>
      </c>
      <c r="F1070" s="3">
        <v>0</v>
      </c>
      <c r="G1070" s="8" t="s">
        <v>2771</v>
      </c>
      <c r="H1070" s="8" t="s">
        <v>5160</v>
      </c>
      <c r="I1070" s="3">
        <v>30</v>
      </c>
      <c r="J1070" s="3" t="s">
        <v>5297</v>
      </c>
      <c r="K1070" s="17" t="str">
        <f>HYPERLINK("http://ictvonline.org/taxonomyHistory.asp?taxnode_id=20171247","ICTVonline=20171247")</f>
        <v>ICTVonline=20171247</v>
      </c>
      <c r="L1070" s="3">
        <v>1069</v>
      </c>
    </row>
    <row r="1071" spans="1:12" x14ac:dyDescent="0.15">
      <c r="A1071" s="1" t="s">
        <v>1341</v>
      </c>
      <c r="B1071" s="1" t="s">
        <v>904</v>
      </c>
      <c r="D1071" s="1" t="s">
        <v>3471</v>
      </c>
      <c r="E1071" s="1" t="s">
        <v>3473</v>
      </c>
      <c r="F1071" s="3">
        <v>0</v>
      </c>
      <c r="G1071" s="8" t="s">
        <v>2771</v>
      </c>
      <c r="H1071" s="8" t="s">
        <v>5160</v>
      </c>
      <c r="I1071" s="3">
        <v>30</v>
      </c>
      <c r="J1071" s="3" t="s">
        <v>5297</v>
      </c>
      <c r="K1071" s="17" t="str">
        <f>HYPERLINK("http://ictvonline.org/taxonomyHistory.asp?taxnode_id=20171248","ICTVonline=20171248")</f>
        <v>ICTVonline=20171248</v>
      </c>
      <c r="L1071" s="3">
        <v>1070</v>
      </c>
    </row>
    <row r="1072" spans="1:12" x14ac:dyDescent="0.15">
      <c r="A1072" s="1" t="s">
        <v>1341</v>
      </c>
      <c r="B1072" s="1" t="s">
        <v>904</v>
      </c>
      <c r="D1072" s="1" t="s">
        <v>3471</v>
      </c>
      <c r="E1072" s="1" t="s">
        <v>3474</v>
      </c>
      <c r="F1072" s="3">
        <v>1</v>
      </c>
      <c r="G1072" s="8" t="s">
        <v>2771</v>
      </c>
      <c r="H1072" s="8" t="s">
        <v>5160</v>
      </c>
      <c r="I1072" s="3">
        <v>30</v>
      </c>
      <c r="J1072" s="3" t="s">
        <v>5297</v>
      </c>
      <c r="K1072" s="17" t="str">
        <f>HYPERLINK("http://ictvonline.org/taxonomyHistory.asp?taxnode_id=20171249","ICTVonline=20171249")</f>
        <v>ICTVonline=20171249</v>
      </c>
      <c r="L1072" s="3">
        <v>1071</v>
      </c>
    </row>
    <row r="1073" spans="1:12" x14ac:dyDescent="0.15">
      <c r="A1073" s="1" t="s">
        <v>1341</v>
      </c>
      <c r="B1073" s="1" t="s">
        <v>904</v>
      </c>
      <c r="D1073" s="1" t="s">
        <v>3471</v>
      </c>
      <c r="E1073" s="1" t="s">
        <v>3475</v>
      </c>
      <c r="F1073" s="3">
        <v>0</v>
      </c>
      <c r="G1073" s="8" t="s">
        <v>2771</v>
      </c>
      <c r="H1073" s="8" t="s">
        <v>5160</v>
      </c>
      <c r="I1073" s="3">
        <v>30</v>
      </c>
      <c r="J1073" s="3" t="s">
        <v>5297</v>
      </c>
      <c r="K1073" s="17" t="str">
        <f>HYPERLINK("http://ictvonline.org/taxonomyHistory.asp?taxnode_id=20171250","ICTVonline=20171250")</f>
        <v>ICTVonline=20171250</v>
      </c>
      <c r="L1073" s="3">
        <v>1072</v>
      </c>
    </row>
    <row r="1074" spans="1:12" x14ac:dyDescent="0.15">
      <c r="A1074" s="1" t="s">
        <v>1341</v>
      </c>
      <c r="B1074" s="1" t="s">
        <v>904</v>
      </c>
      <c r="D1074" s="1" t="s">
        <v>3471</v>
      </c>
      <c r="E1074" s="1" t="s">
        <v>3476</v>
      </c>
      <c r="F1074" s="3">
        <v>0</v>
      </c>
      <c r="G1074" s="8" t="s">
        <v>2771</v>
      </c>
      <c r="H1074" s="8" t="s">
        <v>5160</v>
      </c>
      <c r="I1074" s="3">
        <v>30</v>
      </c>
      <c r="J1074" s="3" t="s">
        <v>5297</v>
      </c>
      <c r="K1074" s="17" t="str">
        <f>HYPERLINK("http://ictvonline.org/taxonomyHistory.asp?taxnode_id=20171251","ICTVonline=20171251")</f>
        <v>ICTVonline=20171251</v>
      </c>
      <c r="L1074" s="3">
        <v>1073</v>
      </c>
    </row>
    <row r="1075" spans="1:12" x14ac:dyDescent="0.15">
      <c r="A1075" s="1" t="s">
        <v>1341</v>
      </c>
      <c r="B1075" s="1" t="s">
        <v>904</v>
      </c>
      <c r="D1075" s="1" t="s">
        <v>4694</v>
      </c>
      <c r="E1075" s="1" t="s">
        <v>4695</v>
      </c>
      <c r="F1075" s="3">
        <v>0</v>
      </c>
      <c r="G1075" s="8" t="s">
        <v>2771</v>
      </c>
      <c r="H1075" s="8" t="s">
        <v>5159</v>
      </c>
      <c r="I1075" s="3">
        <v>31</v>
      </c>
      <c r="J1075" s="3" t="s">
        <v>5506</v>
      </c>
      <c r="K1075" s="17" t="str">
        <f>HYPERLINK("http://ictvonline.org/taxonomyHistory.asp?taxnode_id=20171253","ICTVonline=20171253")</f>
        <v>ICTVonline=20171253</v>
      </c>
      <c r="L1075" s="3">
        <v>1074</v>
      </c>
    </row>
    <row r="1076" spans="1:12" x14ac:dyDescent="0.15">
      <c r="A1076" s="1" t="s">
        <v>1341</v>
      </c>
      <c r="B1076" s="1" t="s">
        <v>904</v>
      </c>
      <c r="D1076" s="1" t="s">
        <v>4694</v>
      </c>
      <c r="E1076" s="1" t="s">
        <v>4696</v>
      </c>
      <c r="F1076" s="3">
        <v>1</v>
      </c>
      <c r="G1076" s="8" t="s">
        <v>2771</v>
      </c>
      <c r="H1076" s="8" t="s">
        <v>5159</v>
      </c>
      <c r="I1076" s="3">
        <v>31</v>
      </c>
      <c r="J1076" s="3" t="s">
        <v>5506</v>
      </c>
      <c r="K1076" s="17" t="str">
        <f>HYPERLINK("http://ictvonline.org/taxonomyHistory.asp?taxnode_id=20171254","ICTVonline=20171254")</f>
        <v>ICTVonline=20171254</v>
      </c>
      <c r="L1076" s="3">
        <v>1075</v>
      </c>
    </row>
    <row r="1077" spans="1:12" x14ac:dyDescent="0.15">
      <c r="A1077" s="1" t="s">
        <v>1341</v>
      </c>
      <c r="B1077" s="1" t="s">
        <v>904</v>
      </c>
      <c r="D1077" s="1" t="s">
        <v>3477</v>
      </c>
      <c r="E1077" s="1" t="s">
        <v>3478</v>
      </c>
      <c r="F1077" s="3">
        <v>0</v>
      </c>
      <c r="G1077" s="8" t="s">
        <v>2771</v>
      </c>
      <c r="H1077" s="8" t="s">
        <v>5159</v>
      </c>
      <c r="I1077" s="3">
        <v>30</v>
      </c>
      <c r="J1077" s="3" t="s">
        <v>5507</v>
      </c>
      <c r="K1077" s="17" t="str">
        <f>HYPERLINK("http://ictvonline.org/taxonomyHistory.asp?taxnode_id=20171256","ICTVonline=20171256")</f>
        <v>ICTVonline=20171256</v>
      </c>
      <c r="L1077" s="3">
        <v>1076</v>
      </c>
    </row>
    <row r="1078" spans="1:12" x14ac:dyDescent="0.15">
      <c r="A1078" s="1" t="s">
        <v>1341</v>
      </c>
      <c r="B1078" s="1" t="s">
        <v>904</v>
      </c>
      <c r="D1078" s="1" t="s">
        <v>3477</v>
      </c>
      <c r="E1078" s="1" t="s">
        <v>3479</v>
      </c>
      <c r="F1078" s="3">
        <v>1</v>
      </c>
      <c r="G1078" s="8" t="s">
        <v>2771</v>
      </c>
      <c r="H1078" s="8" t="s">
        <v>5159</v>
      </c>
      <c r="I1078" s="3">
        <v>30</v>
      </c>
      <c r="J1078" s="3" t="s">
        <v>5507</v>
      </c>
      <c r="K1078" s="17" t="str">
        <f>HYPERLINK("http://ictvonline.org/taxonomyHistory.asp?taxnode_id=20171257","ICTVonline=20171257")</f>
        <v>ICTVonline=20171257</v>
      </c>
      <c r="L1078" s="3">
        <v>1077</v>
      </c>
    </row>
    <row r="1079" spans="1:12" x14ac:dyDescent="0.15">
      <c r="A1079" s="1" t="s">
        <v>1341</v>
      </c>
      <c r="B1079" s="1" t="s">
        <v>904</v>
      </c>
      <c r="D1079" s="1" t="s">
        <v>3477</v>
      </c>
      <c r="E1079" s="1" t="s">
        <v>3480</v>
      </c>
      <c r="F1079" s="3">
        <v>0</v>
      </c>
      <c r="G1079" s="8" t="s">
        <v>2771</v>
      </c>
      <c r="H1079" s="8" t="s">
        <v>5159</v>
      </c>
      <c r="I1079" s="3">
        <v>30</v>
      </c>
      <c r="J1079" s="3" t="s">
        <v>5507</v>
      </c>
      <c r="K1079" s="17" t="str">
        <f>HYPERLINK("http://ictvonline.org/taxonomyHistory.asp?taxnode_id=20171258","ICTVonline=20171258")</f>
        <v>ICTVonline=20171258</v>
      </c>
      <c r="L1079" s="3">
        <v>1078</v>
      </c>
    </row>
    <row r="1080" spans="1:12" x14ac:dyDescent="0.15">
      <c r="A1080" s="1" t="s">
        <v>1341</v>
      </c>
      <c r="B1080" s="1" t="s">
        <v>904</v>
      </c>
      <c r="D1080" s="1" t="s">
        <v>3477</v>
      </c>
      <c r="E1080" s="1" t="s">
        <v>3481</v>
      </c>
      <c r="F1080" s="3">
        <v>0</v>
      </c>
      <c r="G1080" s="8" t="s">
        <v>2771</v>
      </c>
      <c r="H1080" s="8" t="s">
        <v>5159</v>
      </c>
      <c r="I1080" s="3">
        <v>30</v>
      </c>
      <c r="J1080" s="3" t="s">
        <v>5507</v>
      </c>
      <c r="K1080" s="17" t="str">
        <f>HYPERLINK("http://ictvonline.org/taxonomyHistory.asp?taxnode_id=20171259","ICTVonline=20171259")</f>
        <v>ICTVonline=20171259</v>
      </c>
      <c r="L1080" s="3">
        <v>1079</v>
      </c>
    </row>
    <row r="1081" spans="1:12" x14ac:dyDescent="0.15">
      <c r="A1081" s="1" t="s">
        <v>1341</v>
      </c>
      <c r="B1081" s="1" t="s">
        <v>904</v>
      </c>
      <c r="D1081" s="1" t="s">
        <v>3482</v>
      </c>
      <c r="E1081" s="1" t="s">
        <v>3483</v>
      </c>
      <c r="F1081" s="3">
        <v>0</v>
      </c>
      <c r="G1081" s="8" t="s">
        <v>2771</v>
      </c>
      <c r="H1081" s="8" t="s">
        <v>5159</v>
      </c>
      <c r="I1081" s="3">
        <v>30</v>
      </c>
      <c r="J1081" s="3" t="s">
        <v>5508</v>
      </c>
      <c r="K1081" s="17" t="str">
        <f>HYPERLINK("http://ictvonline.org/taxonomyHistory.asp?taxnode_id=20171261","ICTVonline=20171261")</f>
        <v>ICTVonline=20171261</v>
      </c>
      <c r="L1081" s="3">
        <v>1080</v>
      </c>
    </row>
    <row r="1082" spans="1:12" x14ac:dyDescent="0.15">
      <c r="A1082" s="1" t="s">
        <v>1341</v>
      </c>
      <c r="B1082" s="1" t="s">
        <v>904</v>
      </c>
      <c r="D1082" s="1" t="s">
        <v>3482</v>
      </c>
      <c r="E1082" s="1" t="s">
        <v>3484</v>
      </c>
      <c r="F1082" s="3">
        <v>1</v>
      </c>
      <c r="G1082" s="8" t="s">
        <v>2771</v>
      </c>
      <c r="H1082" s="8" t="s">
        <v>5159</v>
      </c>
      <c r="I1082" s="3">
        <v>30</v>
      </c>
      <c r="J1082" s="3" t="s">
        <v>5508</v>
      </c>
      <c r="K1082" s="17" t="str">
        <f>HYPERLINK("http://ictvonline.org/taxonomyHistory.asp?taxnode_id=20171262","ICTVonline=20171262")</f>
        <v>ICTVonline=20171262</v>
      </c>
      <c r="L1082" s="3">
        <v>1081</v>
      </c>
    </row>
    <row r="1083" spans="1:12" x14ac:dyDescent="0.15">
      <c r="A1083" s="1" t="s">
        <v>1341</v>
      </c>
      <c r="B1083" s="1" t="s">
        <v>904</v>
      </c>
      <c r="D1083" s="1" t="s">
        <v>3485</v>
      </c>
      <c r="E1083" s="1" t="s">
        <v>3486</v>
      </c>
      <c r="F1083" s="3">
        <v>0</v>
      </c>
      <c r="G1083" s="8" t="s">
        <v>2771</v>
      </c>
      <c r="H1083" s="8" t="s">
        <v>5159</v>
      </c>
      <c r="I1083" s="3">
        <v>30</v>
      </c>
      <c r="J1083" s="3" t="s">
        <v>5509</v>
      </c>
      <c r="K1083" s="17" t="str">
        <f>HYPERLINK("http://ictvonline.org/taxonomyHistory.asp?taxnode_id=20171264","ICTVonline=20171264")</f>
        <v>ICTVonline=20171264</v>
      </c>
      <c r="L1083" s="3">
        <v>1082</v>
      </c>
    </row>
    <row r="1084" spans="1:12" x14ac:dyDescent="0.15">
      <c r="A1084" s="1" t="s">
        <v>1341</v>
      </c>
      <c r="B1084" s="1" t="s">
        <v>904</v>
      </c>
      <c r="D1084" s="1" t="s">
        <v>3485</v>
      </c>
      <c r="E1084" s="1" t="s">
        <v>3487</v>
      </c>
      <c r="F1084" s="3">
        <v>1</v>
      </c>
      <c r="G1084" s="8" t="s">
        <v>2771</v>
      </c>
      <c r="H1084" s="8" t="s">
        <v>5159</v>
      </c>
      <c r="I1084" s="3">
        <v>30</v>
      </c>
      <c r="J1084" s="3" t="s">
        <v>5509</v>
      </c>
      <c r="K1084" s="17" t="str">
        <f>HYPERLINK("http://ictvonline.org/taxonomyHistory.asp?taxnode_id=20171265","ICTVonline=20171265")</f>
        <v>ICTVonline=20171265</v>
      </c>
      <c r="L1084" s="3">
        <v>1083</v>
      </c>
    </row>
    <row r="1085" spans="1:12" x14ac:dyDescent="0.15">
      <c r="A1085" s="1" t="s">
        <v>1341</v>
      </c>
      <c r="B1085" s="1" t="s">
        <v>904</v>
      </c>
      <c r="D1085" s="1" t="s">
        <v>3488</v>
      </c>
      <c r="E1085" s="1" t="s">
        <v>3489</v>
      </c>
      <c r="F1085" s="3">
        <v>0</v>
      </c>
      <c r="G1085" s="8" t="s">
        <v>2771</v>
      </c>
      <c r="H1085" s="8" t="s">
        <v>5160</v>
      </c>
      <c r="I1085" s="3">
        <v>30</v>
      </c>
      <c r="J1085" s="3" t="s">
        <v>5297</v>
      </c>
      <c r="K1085" s="17" t="str">
        <f>HYPERLINK("http://ictvonline.org/taxonomyHistory.asp?taxnode_id=20171267","ICTVonline=20171267")</f>
        <v>ICTVonline=20171267</v>
      </c>
      <c r="L1085" s="3">
        <v>1084</v>
      </c>
    </row>
    <row r="1086" spans="1:12" x14ac:dyDescent="0.15">
      <c r="A1086" s="1" t="s">
        <v>1341</v>
      </c>
      <c r="B1086" s="1" t="s">
        <v>904</v>
      </c>
      <c r="D1086" s="1" t="s">
        <v>3488</v>
      </c>
      <c r="E1086" s="1" t="s">
        <v>3490</v>
      </c>
      <c r="F1086" s="3">
        <v>0</v>
      </c>
      <c r="G1086" s="8" t="s">
        <v>2771</v>
      </c>
      <c r="H1086" s="8" t="s">
        <v>5160</v>
      </c>
      <c r="I1086" s="3">
        <v>30</v>
      </c>
      <c r="J1086" s="3" t="s">
        <v>5297</v>
      </c>
      <c r="K1086" s="17" t="str">
        <f>HYPERLINK("http://ictvonline.org/taxonomyHistory.asp?taxnode_id=20171268","ICTVonline=20171268")</f>
        <v>ICTVonline=20171268</v>
      </c>
      <c r="L1086" s="3">
        <v>1085</v>
      </c>
    </row>
    <row r="1087" spans="1:12" x14ac:dyDescent="0.15">
      <c r="A1087" s="1" t="s">
        <v>1341</v>
      </c>
      <c r="B1087" s="1" t="s">
        <v>904</v>
      </c>
      <c r="D1087" s="1" t="s">
        <v>3488</v>
      </c>
      <c r="E1087" s="1" t="s">
        <v>3491</v>
      </c>
      <c r="F1087" s="3">
        <v>0</v>
      </c>
      <c r="G1087" s="8" t="s">
        <v>2771</v>
      </c>
      <c r="H1087" s="8" t="s">
        <v>5160</v>
      </c>
      <c r="I1087" s="3">
        <v>30</v>
      </c>
      <c r="J1087" s="3" t="s">
        <v>5297</v>
      </c>
      <c r="K1087" s="17" t="str">
        <f>HYPERLINK("http://ictvonline.org/taxonomyHistory.asp?taxnode_id=20171269","ICTVonline=20171269")</f>
        <v>ICTVonline=20171269</v>
      </c>
      <c r="L1087" s="3">
        <v>1086</v>
      </c>
    </row>
    <row r="1088" spans="1:12" x14ac:dyDescent="0.15">
      <c r="A1088" s="1" t="s">
        <v>1341</v>
      </c>
      <c r="B1088" s="1" t="s">
        <v>904</v>
      </c>
      <c r="D1088" s="1" t="s">
        <v>3488</v>
      </c>
      <c r="E1088" s="1" t="s">
        <v>3492</v>
      </c>
      <c r="F1088" s="3">
        <v>0</v>
      </c>
      <c r="G1088" s="8" t="s">
        <v>2771</v>
      </c>
      <c r="H1088" s="8" t="s">
        <v>5160</v>
      </c>
      <c r="I1088" s="3">
        <v>30</v>
      </c>
      <c r="J1088" s="3" t="s">
        <v>5297</v>
      </c>
      <c r="K1088" s="17" t="str">
        <f>HYPERLINK("http://ictvonline.org/taxonomyHistory.asp?taxnode_id=20171270","ICTVonline=20171270")</f>
        <v>ICTVonline=20171270</v>
      </c>
      <c r="L1088" s="3">
        <v>1087</v>
      </c>
    </row>
    <row r="1089" spans="1:12" x14ac:dyDescent="0.15">
      <c r="A1089" s="1" t="s">
        <v>1341</v>
      </c>
      <c r="B1089" s="1" t="s">
        <v>904</v>
      </c>
      <c r="D1089" s="1" t="s">
        <v>3488</v>
      </c>
      <c r="E1089" s="1" t="s">
        <v>3493</v>
      </c>
      <c r="F1089" s="3">
        <v>1</v>
      </c>
      <c r="G1089" s="8" t="s">
        <v>2771</v>
      </c>
      <c r="H1089" s="8" t="s">
        <v>5160</v>
      </c>
      <c r="I1089" s="3">
        <v>30</v>
      </c>
      <c r="J1089" s="3" t="s">
        <v>5297</v>
      </c>
      <c r="K1089" s="17" t="str">
        <f>HYPERLINK("http://ictvonline.org/taxonomyHistory.asp?taxnode_id=20171271","ICTVonline=20171271")</f>
        <v>ICTVonline=20171271</v>
      </c>
      <c r="L1089" s="3">
        <v>1088</v>
      </c>
    </row>
    <row r="1090" spans="1:12" x14ac:dyDescent="0.15">
      <c r="A1090" s="1" t="s">
        <v>1341</v>
      </c>
      <c r="B1090" s="1" t="s">
        <v>904</v>
      </c>
      <c r="D1090" s="1" t="s">
        <v>3494</v>
      </c>
      <c r="E1090" s="1" t="s">
        <v>3495</v>
      </c>
      <c r="F1090" s="3">
        <v>0</v>
      </c>
      <c r="G1090" s="8" t="s">
        <v>2771</v>
      </c>
      <c r="H1090" s="8" t="s">
        <v>5160</v>
      </c>
      <c r="I1090" s="3">
        <v>30</v>
      </c>
      <c r="J1090" s="3" t="s">
        <v>5297</v>
      </c>
      <c r="K1090" s="17" t="str">
        <f>HYPERLINK("http://ictvonline.org/taxonomyHistory.asp?taxnode_id=20171273","ICTVonline=20171273")</f>
        <v>ICTVonline=20171273</v>
      </c>
      <c r="L1090" s="3">
        <v>1089</v>
      </c>
    </row>
    <row r="1091" spans="1:12" x14ac:dyDescent="0.15">
      <c r="A1091" s="1" t="s">
        <v>1341</v>
      </c>
      <c r="B1091" s="1" t="s">
        <v>904</v>
      </c>
      <c r="D1091" s="1" t="s">
        <v>3494</v>
      </c>
      <c r="E1091" s="1" t="s">
        <v>3496</v>
      </c>
      <c r="F1091" s="3">
        <v>1</v>
      </c>
      <c r="G1091" s="8" t="s">
        <v>2771</v>
      </c>
      <c r="H1091" s="8" t="s">
        <v>5160</v>
      </c>
      <c r="I1091" s="3">
        <v>30</v>
      </c>
      <c r="J1091" s="3" t="s">
        <v>5297</v>
      </c>
      <c r="K1091" s="17" t="str">
        <f>HYPERLINK("http://ictvonline.org/taxonomyHistory.asp?taxnode_id=20171274","ICTVonline=20171274")</f>
        <v>ICTVonline=20171274</v>
      </c>
      <c r="L1091" s="3">
        <v>1090</v>
      </c>
    </row>
    <row r="1092" spans="1:12" x14ac:dyDescent="0.15">
      <c r="A1092" s="1" t="s">
        <v>1341</v>
      </c>
      <c r="B1092" s="1" t="s">
        <v>904</v>
      </c>
      <c r="D1092" s="1" t="s">
        <v>3494</v>
      </c>
      <c r="E1092" s="1" t="s">
        <v>3497</v>
      </c>
      <c r="F1092" s="3">
        <v>0</v>
      </c>
      <c r="G1092" s="8" t="s">
        <v>2771</v>
      </c>
      <c r="H1092" s="8" t="s">
        <v>5160</v>
      </c>
      <c r="I1092" s="3">
        <v>30</v>
      </c>
      <c r="J1092" s="3" t="s">
        <v>5297</v>
      </c>
      <c r="K1092" s="17" t="str">
        <f>HYPERLINK("http://ictvonline.org/taxonomyHistory.asp?taxnode_id=20171275","ICTVonline=20171275")</f>
        <v>ICTVonline=20171275</v>
      </c>
      <c r="L1092" s="3">
        <v>1091</v>
      </c>
    </row>
    <row r="1093" spans="1:12" x14ac:dyDescent="0.15">
      <c r="A1093" s="1" t="s">
        <v>1341</v>
      </c>
      <c r="B1093" s="1" t="s">
        <v>904</v>
      </c>
      <c r="D1093" s="1" t="s">
        <v>3494</v>
      </c>
      <c r="E1093" s="1" t="s">
        <v>3498</v>
      </c>
      <c r="F1093" s="3">
        <v>0</v>
      </c>
      <c r="G1093" s="8" t="s">
        <v>2771</v>
      </c>
      <c r="H1093" s="8" t="s">
        <v>5160</v>
      </c>
      <c r="I1093" s="3">
        <v>30</v>
      </c>
      <c r="J1093" s="3" t="s">
        <v>5297</v>
      </c>
      <c r="K1093" s="17" t="str">
        <f>HYPERLINK("http://ictvonline.org/taxonomyHistory.asp?taxnode_id=20171276","ICTVonline=20171276")</f>
        <v>ICTVonline=20171276</v>
      </c>
      <c r="L1093" s="3">
        <v>1092</v>
      </c>
    </row>
    <row r="1094" spans="1:12" x14ac:dyDescent="0.15">
      <c r="A1094" s="1" t="s">
        <v>1341</v>
      </c>
      <c r="B1094" s="1" t="s">
        <v>904</v>
      </c>
      <c r="D1094" s="1" t="s">
        <v>3494</v>
      </c>
      <c r="E1094" s="1" t="s">
        <v>3499</v>
      </c>
      <c r="F1094" s="3">
        <v>0</v>
      </c>
      <c r="G1094" s="8" t="s">
        <v>2771</v>
      </c>
      <c r="H1094" s="8" t="s">
        <v>5160</v>
      </c>
      <c r="I1094" s="3">
        <v>30</v>
      </c>
      <c r="J1094" s="3" t="s">
        <v>5297</v>
      </c>
      <c r="K1094" s="17" t="str">
        <f>HYPERLINK("http://ictvonline.org/taxonomyHistory.asp?taxnode_id=20171277","ICTVonline=20171277")</f>
        <v>ICTVonline=20171277</v>
      </c>
      <c r="L1094" s="3">
        <v>1093</v>
      </c>
    </row>
    <row r="1095" spans="1:12" x14ac:dyDescent="0.15">
      <c r="A1095" s="1" t="s">
        <v>1341</v>
      </c>
      <c r="B1095" s="1" t="s">
        <v>904</v>
      </c>
      <c r="D1095" s="1" t="s">
        <v>3500</v>
      </c>
      <c r="E1095" s="1" t="s">
        <v>3501</v>
      </c>
      <c r="F1095" s="3">
        <v>1</v>
      </c>
      <c r="G1095" s="8" t="s">
        <v>2771</v>
      </c>
      <c r="H1095" s="8" t="s">
        <v>5159</v>
      </c>
      <c r="I1095" s="3">
        <v>30</v>
      </c>
      <c r="J1095" s="3" t="s">
        <v>5510</v>
      </c>
      <c r="K1095" s="17" t="str">
        <f>HYPERLINK("http://ictvonline.org/taxonomyHistory.asp?taxnode_id=20171279","ICTVonline=20171279")</f>
        <v>ICTVonline=20171279</v>
      </c>
      <c r="L1095" s="3">
        <v>1094</v>
      </c>
    </row>
    <row r="1096" spans="1:12" x14ac:dyDescent="0.15">
      <c r="A1096" s="1" t="s">
        <v>1341</v>
      </c>
      <c r="B1096" s="1" t="s">
        <v>904</v>
      </c>
      <c r="D1096" s="1" t="s">
        <v>3500</v>
      </c>
      <c r="E1096" s="1" t="s">
        <v>3502</v>
      </c>
      <c r="F1096" s="3">
        <v>0</v>
      </c>
      <c r="G1096" s="8" t="s">
        <v>2771</v>
      </c>
      <c r="H1096" s="8" t="s">
        <v>5159</v>
      </c>
      <c r="I1096" s="3">
        <v>30</v>
      </c>
      <c r="J1096" s="3" t="s">
        <v>5510</v>
      </c>
      <c r="K1096" s="17" t="str">
        <f>HYPERLINK("http://ictvonline.org/taxonomyHistory.asp?taxnode_id=20171280","ICTVonline=20171280")</f>
        <v>ICTVonline=20171280</v>
      </c>
      <c r="L1096" s="3">
        <v>1095</v>
      </c>
    </row>
    <row r="1097" spans="1:12" x14ac:dyDescent="0.15">
      <c r="A1097" s="1" t="s">
        <v>1341</v>
      </c>
      <c r="B1097" s="1" t="s">
        <v>904</v>
      </c>
      <c r="D1097" s="1" t="s">
        <v>3500</v>
      </c>
      <c r="E1097" s="1" t="s">
        <v>3503</v>
      </c>
      <c r="F1097" s="3">
        <v>0</v>
      </c>
      <c r="G1097" s="8" t="s">
        <v>2771</v>
      </c>
      <c r="H1097" s="8" t="s">
        <v>5159</v>
      </c>
      <c r="I1097" s="3">
        <v>30</v>
      </c>
      <c r="J1097" s="3" t="s">
        <v>5510</v>
      </c>
      <c r="K1097" s="17" t="str">
        <f>HYPERLINK("http://ictvonline.org/taxonomyHistory.asp?taxnode_id=20171281","ICTVonline=20171281")</f>
        <v>ICTVonline=20171281</v>
      </c>
      <c r="L1097" s="3">
        <v>1096</v>
      </c>
    </row>
    <row r="1098" spans="1:12" x14ac:dyDescent="0.15">
      <c r="A1098" s="1" t="s">
        <v>1341</v>
      </c>
      <c r="B1098" s="1" t="s">
        <v>904</v>
      </c>
      <c r="D1098" s="1" t="s">
        <v>3500</v>
      </c>
      <c r="E1098" s="1" t="s">
        <v>3504</v>
      </c>
      <c r="F1098" s="3">
        <v>0</v>
      </c>
      <c r="G1098" s="8" t="s">
        <v>2771</v>
      </c>
      <c r="H1098" s="8" t="s">
        <v>5159</v>
      </c>
      <c r="I1098" s="3">
        <v>30</v>
      </c>
      <c r="J1098" s="3" t="s">
        <v>5510</v>
      </c>
      <c r="K1098" s="17" t="str">
        <f>HYPERLINK("http://ictvonline.org/taxonomyHistory.asp?taxnode_id=20171282","ICTVonline=20171282")</f>
        <v>ICTVonline=20171282</v>
      </c>
      <c r="L1098" s="3">
        <v>1097</v>
      </c>
    </row>
    <row r="1099" spans="1:12" x14ac:dyDescent="0.15">
      <c r="A1099" s="1" t="s">
        <v>1341</v>
      </c>
      <c r="B1099" s="1" t="s">
        <v>904</v>
      </c>
      <c r="D1099" s="1" t="s">
        <v>3500</v>
      </c>
      <c r="E1099" s="1" t="s">
        <v>3505</v>
      </c>
      <c r="F1099" s="3">
        <v>0</v>
      </c>
      <c r="G1099" s="8" t="s">
        <v>2771</v>
      </c>
      <c r="H1099" s="8" t="s">
        <v>5159</v>
      </c>
      <c r="I1099" s="3">
        <v>30</v>
      </c>
      <c r="J1099" s="3" t="s">
        <v>5510</v>
      </c>
      <c r="K1099" s="17" t="str">
        <f>HYPERLINK("http://ictvonline.org/taxonomyHistory.asp?taxnode_id=20171283","ICTVonline=20171283")</f>
        <v>ICTVonline=20171283</v>
      </c>
      <c r="L1099" s="3">
        <v>1098</v>
      </c>
    </row>
    <row r="1100" spans="1:12" x14ac:dyDescent="0.15">
      <c r="A1100" s="1" t="s">
        <v>1341</v>
      </c>
      <c r="B1100" s="1" t="s">
        <v>904</v>
      </c>
      <c r="D1100" s="1" t="s">
        <v>3500</v>
      </c>
      <c r="E1100" s="1" t="s">
        <v>4697</v>
      </c>
      <c r="F1100" s="3">
        <v>0</v>
      </c>
      <c r="G1100" s="8" t="s">
        <v>2771</v>
      </c>
      <c r="H1100" s="8" t="s">
        <v>5159</v>
      </c>
      <c r="I1100" s="3">
        <v>31</v>
      </c>
      <c r="J1100" s="3" t="s">
        <v>5298</v>
      </c>
      <c r="K1100" s="17" t="str">
        <f>HYPERLINK("http://ictvonline.org/taxonomyHistory.asp?taxnode_id=20171284","ICTVonline=20171284")</f>
        <v>ICTVonline=20171284</v>
      </c>
      <c r="L1100" s="3">
        <v>1099</v>
      </c>
    </row>
    <row r="1101" spans="1:12" x14ac:dyDescent="0.15">
      <c r="A1101" s="1" t="s">
        <v>1341</v>
      </c>
      <c r="B1101" s="1" t="s">
        <v>904</v>
      </c>
      <c r="D1101" s="1" t="s">
        <v>3506</v>
      </c>
      <c r="E1101" s="1" t="s">
        <v>3507</v>
      </c>
      <c r="F1101" s="3">
        <v>0</v>
      </c>
      <c r="G1101" s="8" t="s">
        <v>2771</v>
      </c>
      <c r="H1101" s="8" t="s">
        <v>5160</v>
      </c>
      <c r="I1101" s="3">
        <v>30</v>
      </c>
      <c r="J1101" s="3" t="s">
        <v>5297</v>
      </c>
      <c r="K1101" s="17" t="str">
        <f>HYPERLINK("http://ictvonline.org/taxonomyHistory.asp?taxnode_id=20171286","ICTVonline=20171286")</f>
        <v>ICTVonline=20171286</v>
      </c>
      <c r="L1101" s="3">
        <v>1100</v>
      </c>
    </row>
    <row r="1102" spans="1:12" x14ac:dyDescent="0.15">
      <c r="A1102" s="1" t="s">
        <v>1341</v>
      </c>
      <c r="B1102" s="1" t="s">
        <v>904</v>
      </c>
      <c r="D1102" s="1" t="s">
        <v>3506</v>
      </c>
      <c r="E1102" s="1" t="s">
        <v>3508</v>
      </c>
      <c r="F1102" s="3">
        <v>0</v>
      </c>
      <c r="G1102" s="8" t="s">
        <v>2771</v>
      </c>
      <c r="H1102" s="8" t="s">
        <v>5160</v>
      </c>
      <c r="I1102" s="3">
        <v>30</v>
      </c>
      <c r="J1102" s="3" t="s">
        <v>5297</v>
      </c>
      <c r="K1102" s="17" t="str">
        <f>HYPERLINK("http://ictvonline.org/taxonomyHistory.asp?taxnode_id=20171287","ICTVonline=20171287")</f>
        <v>ICTVonline=20171287</v>
      </c>
      <c r="L1102" s="3">
        <v>1101</v>
      </c>
    </row>
    <row r="1103" spans="1:12" x14ac:dyDescent="0.15">
      <c r="A1103" s="1" t="s">
        <v>1341</v>
      </c>
      <c r="B1103" s="1" t="s">
        <v>904</v>
      </c>
      <c r="D1103" s="1" t="s">
        <v>3506</v>
      </c>
      <c r="E1103" s="1" t="s">
        <v>3509</v>
      </c>
      <c r="F1103" s="3">
        <v>0</v>
      </c>
      <c r="G1103" s="8" t="s">
        <v>2771</v>
      </c>
      <c r="H1103" s="8" t="s">
        <v>5160</v>
      </c>
      <c r="I1103" s="3">
        <v>30</v>
      </c>
      <c r="J1103" s="3" t="s">
        <v>5297</v>
      </c>
      <c r="K1103" s="17" t="str">
        <f>HYPERLINK("http://ictvonline.org/taxonomyHistory.asp?taxnode_id=20171288","ICTVonline=20171288")</f>
        <v>ICTVonline=20171288</v>
      </c>
      <c r="L1103" s="3">
        <v>1102</v>
      </c>
    </row>
    <row r="1104" spans="1:12" x14ac:dyDescent="0.15">
      <c r="A1104" s="1" t="s">
        <v>1341</v>
      </c>
      <c r="B1104" s="1" t="s">
        <v>904</v>
      </c>
      <c r="D1104" s="1" t="s">
        <v>3506</v>
      </c>
      <c r="E1104" s="1" t="s">
        <v>3510</v>
      </c>
      <c r="F1104" s="3">
        <v>0</v>
      </c>
      <c r="G1104" s="8" t="s">
        <v>2771</v>
      </c>
      <c r="H1104" s="8" t="s">
        <v>5160</v>
      </c>
      <c r="I1104" s="3">
        <v>30</v>
      </c>
      <c r="J1104" s="3" t="s">
        <v>5297</v>
      </c>
      <c r="K1104" s="17" t="str">
        <f>HYPERLINK("http://ictvonline.org/taxonomyHistory.asp?taxnode_id=20171289","ICTVonline=20171289")</f>
        <v>ICTVonline=20171289</v>
      </c>
      <c r="L1104" s="3">
        <v>1103</v>
      </c>
    </row>
    <row r="1105" spans="1:12" x14ac:dyDescent="0.15">
      <c r="A1105" s="1" t="s">
        <v>1341</v>
      </c>
      <c r="B1105" s="1" t="s">
        <v>904</v>
      </c>
      <c r="D1105" s="1" t="s">
        <v>3506</v>
      </c>
      <c r="E1105" s="1" t="s">
        <v>3511</v>
      </c>
      <c r="F1105" s="3">
        <v>0</v>
      </c>
      <c r="G1105" s="8" t="s">
        <v>2771</v>
      </c>
      <c r="H1105" s="8" t="s">
        <v>5160</v>
      </c>
      <c r="I1105" s="3">
        <v>30</v>
      </c>
      <c r="J1105" s="3" t="s">
        <v>5297</v>
      </c>
      <c r="K1105" s="17" t="str">
        <f>HYPERLINK("http://ictvonline.org/taxonomyHistory.asp?taxnode_id=20171290","ICTVonline=20171290")</f>
        <v>ICTVonline=20171290</v>
      </c>
      <c r="L1105" s="3">
        <v>1104</v>
      </c>
    </row>
    <row r="1106" spans="1:12" x14ac:dyDescent="0.15">
      <c r="A1106" s="1" t="s">
        <v>1341</v>
      </c>
      <c r="B1106" s="1" t="s">
        <v>904</v>
      </c>
      <c r="D1106" s="1" t="s">
        <v>3506</v>
      </c>
      <c r="E1106" s="1" t="s">
        <v>3512</v>
      </c>
      <c r="F1106" s="3">
        <v>0</v>
      </c>
      <c r="G1106" s="8" t="s">
        <v>2771</v>
      </c>
      <c r="H1106" s="8" t="s">
        <v>5160</v>
      </c>
      <c r="I1106" s="3">
        <v>30</v>
      </c>
      <c r="J1106" s="3" t="s">
        <v>5297</v>
      </c>
      <c r="K1106" s="17" t="str">
        <f>HYPERLINK("http://ictvonline.org/taxonomyHistory.asp?taxnode_id=20171291","ICTVonline=20171291")</f>
        <v>ICTVonline=20171291</v>
      </c>
      <c r="L1106" s="3">
        <v>1105</v>
      </c>
    </row>
    <row r="1107" spans="1:12" x14ac:dyDescent="0.15">
      <c r="A1107" s="1" t="s">
        <v>1341</v>
      </c>
      <c r="B1107" s="1" t="s">
        <v>904</v>
      </c>
      <c r="D1107" s="1" t="s">
        <v>3506</v>
      </c>
      <c r="E1107" s="1" t="s">
        <v>3513</v>
      </c>
      <c r="F1107" s="3">
        <v>0</v>
      </c>
      <c r="G1107" s="8" t="s">
        <v>2771</v>
      </c>
      <c r="H1107" s="8" t="s">
        <v>5160</v>
      </c>
      <c r="I1107" s="3">
        <v>30</v>
      </c>
      <c r="J1107" s="3" t="s">
        <v>5297</v>
      </c>
      <c r="K1107" s="17" t="str">
        <f>HYPERLINK("http://ictvonline.org/taxonomyHistory.asp?taxnode_id=20171292","ICTVonline=20171292")</f>
        <v>ICTVonline=20171292</v>
      </c>
      <c r="L1107" s="3">
        <v>1106</v>
      </c>
    </row>
    <row r="1108" spans="1:12" x14ac:dyDescent="0.15">
      <c r="A1108" s="1" t="s">
        <v>1341</v>
      </c>
      <c r="B1108" s="1" t="s">
        <v>904</v>
      </c>
      <c r="D1108" s="1" t="s">
        <v>3506</v>
      </c>
      <c r="E1108" s="1" t="s">
        <v>3514</v>
      </c>
      <c r="F1108" s="3">
        <v>0</v>
      </c>
      <c r="G1108" s="8" t="s">
        <v>2771</v>
      </c>
      <c r="H1108" s="8" t="s">
        <v>5160</v>
      </c>
      <c r="I1108" s="3">
        <v>30</v>
      </c>
      <c r="J1108" s="3" t="s">
        <v>5297</v>
      </c>
      <c r="K1108" s="17" t="str">
        <f>HYPERLINK("http://ictvonline.org/taxonomyHistory.asp?taxnode_id=20171293","ICTVonline=20171293")</f>
        <v>ICTVonline=20171293</v>
      </c>
      <c r="L1108" s="3">
        <v>1107</v>
      </c>
    </row>
    <row r="1109" spans="1:12" x14ac:dyDescent="0.15">
      <c r="A1109" s="1" t="s">
        <v>1341</v>
      </c>
      <c r="B1109" s="1" t="s">
        <v>904</v>
      </c>
      <c r="D1109" s="1" t="s">
        <v>3506</v>
      </c>
      <c r="E1109" s="1" t="s">
        <v>3515</v>
      </c>
      <c r="F1109" s="3">
        <v>0</v>
      </c>
      <c r="G1109" s="8" t="s">
        <v>2771</v>
      </c>
      <c r="H1109" s="8" t="s">
        <v>5160</v>
      </c>
      <c r="I1109" s="3">
        <v>30</v>
      </c>
      <c r="J1109" s="3" t="s">
        <v>5297</v>
      </c>
      <c r="K1109" s="17" t="str">
        <f>HYPERLINK("http://ictvonline.org/taxonomyHistory.asp?taxnode_id=20171294","ICTVonline=20171294")</f>
        <v>ICTVonline=20171294</v>
      </c>
      <c r="L1109" s="3">
        <v>1108</v>
      </c>
    </row>
    <row r="1110" spans="1:12" x14ac:dyDescent="0.15">
      <c r="A1110" s="1" t="s">
        <v>1341</v>
      </c>
      <c r="B1110" s="1" t="s">
        <v>904</v>
      </c>
      <c r="D1110" s="1" t="s">
        <v>3506</v>
      </c>
      <c r="E1110" s="1" t="s">
        <v>3516</v>
      </c>
      <c r="F1110" s="3">
        <v>0</v>
      </c>
      <c r="G1110" s="8" t="s">
        <v>2771</v>
      </c>
      <c r="H1110" s="8" t="s">
        <v>5160</v>
      </c>
      <c r="I1110" s="3">
        <v>30</v>
      </c>
      <c r="J1110" s="3" t="s">
        <v>5297</v>
      </c>
      <c r="K1110" s="17" t="str">
        <f>HYPERLINK("http://ictvonline.org/taxonomyHistory.asp?taxnode_id=20171295","ICTVonline=20171295")</f>
        <v>ICTVonline=20171295</v>
      </c>
      <c r="L1110" s="3">
        <v>1109</v>
      </c>
    </row>
    <row r="1111" spans="1:12" x14ac:dyDescent="0.15">
      <c r="A1111" s="1" t="s">
        <v>1341</v>
      </c>
      <c r="B1111" s="1" t="s">
        <v>904</v>
      </c>
      <c r="D1111" s="1" t="s">
        <v>3506</v>
      </c>
      <c r="E1111" s="1" t="s">
        <v>3517</v>
      </c>
      <c r="F1111" s="3">
        <v>0</v>
      </c>
      <c r="G1111" s="8" t="s">
        <v>2771</v>
      </c>
      <c r="H1111" s="8" t="s">
        <v>5160</v>
      </c>
      <c r="I1111" s="3">
        <v>30</v>
      </c>
      <c r="J1111" s="3" t="s">
        <v>5297</v>
      </c>
      <c r="K1111" s="17" t="str">
        <f>HYPERLINK("http://ictvonline.org/taxonomyHistory.asp?taxnode_id=20171296","ICTVonline=20171296")</f>
        <v>ICTVonline=20171296</v>
      </c>
      <c r="L1111" s="3">
        <v>1110</v>
      </c>
    </row>
    <row r="1112" spans="1:12" x14ac:dyDescent="0.15">
      <c r="A1112" s="1" t="s">
        <v>1341</v>
      </c>
      <c r="B1112" s="1" t="s">
        <v>904</v>
      </c>
      <c r="D1112" s="1" t="s">
        <v>3506</v>
      </c>
      <c r="E1112" s="1" t="s">
        <v>3518</v>
      </c>
      <c r="F1112" s="3">
        <v>0</v>
      </c>
      <c r="G1112" s="8" t="s">
        <v>2771</v>
      </c>
      <c r="H1112" s="8" t="s">
        <v>5160</v>
      </c>
      <c r="I1112" s="3">
        <v>30</v>
      </c>
      <c r="J1112" s="3" t="s">
        <v>5297</v>
      </c>
      <c r="K1112" s="17" t="str">
        <f>HYPERLINK("http://ictvonline.org/taxonomyHistory.asp?taxnode_id=20171297","ICTVonline=20171297")</f>
        <v>ICTVonline=20171297</v>
      </c>
      <c r="L1112" s="3">
        <v>1111</v>
      </c>
    </row>
    <row r="1113" spans="1:12" x14ac:dyDescent="0.15">
      <c r="A1113" s="1" t="s">
        <v>1341</v>
      </c>
      <c r="B1113" s="1" t="s">
        <v>904</v>
      </c>
      <c r="D1113" s="1" t="s">
        <v>3506</v>
      </c>
      <c r="E1113" s="1" t="s">
        <v>3519</v>
      </c>
      <c r="F1113" s="3">
        <v>0</v>
      </c>
      <c r="G1113" s="8" t="s">
        <v>2771</v>
      </c>
      <c r="H1113" s="8" t="s">
        <v>5160</v>
      </c>
      <c r="I1113" s="3">
        <v>30</v>
      </c>
      <c r="J1113" s="3" t="s">
        <v>5297</v>
      </c>
      <c r="K1113" s="17" t="str">
        <f>HYPERLINK("http://ictvonline.org/taxonomyHistory.asp?taxnode_id=20171298","ICTVonline=20171298")</f>
        <v>ICTVonline=20171298</v>
      </c>
      <c r="L1113" s="3">
        <v>1112</v>
      </c>
    </row>
    <row r="1114" spans="1:12" x14ac:dyDescent="0.15">
      <c r="A1114" s="1" t="s">
        <v>1341</v>
      </c>
      <c r="B1114" s="1" t="s">
        <v>904</v>
      </c>
      <c r="D1114" s="1" t="s">
        <v>3506</v>
      </c>
      <c r="E1114" s="1" t="s">
        <v>3520</v>
      </c>
      <c r="F1114" s="3">
        <v>0</v>
      </c>
      <c r="G1114" s="8" t="s">
        <v>2771</v>
      </c>
      <c r="H1114" s="8" t="s">
        <v>5160</v>
      </c>
      <c r="I1114" s="3">
        <v>30</v>
      </c>
      <c r="J1114" s="3" t="s">
        <v>5297</v>
      </c>
      <c r="K1114" s="17" t="str">
        <f>HYPERLINK("http://ictvonline.org/taxonomyHistory.asp?taxnode_id=20171299","ICTVonline=20171299")</f>
        <v>ICTVonline=20171299</v>
      </c>
      <c r="L1114" s="3">
        <v>1113</v>
      </c>
    </row>
    <row r="1115" spans="1:12" x14ac:dyDescent="0.15">
      <c r="A1115" s="1" t="s">
        <v>1341</v>
      </c>
      <c r="B1115" s="1" t="s">
        <v>904</v>
      </c>
      <c r="D1115" s="1" t="s">
        <v>3506</v>
      </c>
      <c r="E1115" s="1" t="s">
        <v>3521</v>
      </c>
      <c r="F1115" s="3">
        <v>0</v>
      </c>
      <c r="G1115" s="8" t="s">
        <v>2771</v>
      </c>
      <c r="H1115" s="8" t="s">
        <v>5160</v>
      </c>
      <c r="I1115" s="3">
        <v>30</v>
      </c>
      <c r="J1115" s="3" t="s">
        <v>5297</v>
      </c>
      <c r="K1115" s="17" t="str">
        <f>HYPERLINK("http://ictvonline.org/taxonomyHistory.asp?taxnode_id=20171300","ICTVonline=20171300")</f>
        <v>ICTVonline=20171300</v>
      </c>
      <c r="L1115" s="3">
        <v>1114</v>
      </c>
    </row>
    <row r="1116" spans="1:12" x14ac:dyDescent="0.15">
      <c r="A1116" s="1" t="s">
        <v>1341</v>
      </c>
      <c r="B1116" s="1" t="s">
        <v>904</v>
      </c>
      <c r="D1116" s="1" t="s">
        <v>3506</v>
      </c>
      <c r="E1116" s="1" t="s">
        <v>3522</v>
      </c>
      <c r="F1116" s="3">
        <v>1</v>
      </c>
      <c r="G1116" s="8" t="s">
        <v>2771</v>
      </c>
      <c r="H1116" s="8" t="s">
        <v>5160</v>
      </c>
      <c r="I1116" s="3">
        <v>30</v>
      </c>
      <c r="J1116" s="3" t="s">
        <v>5297</v>
      </c>
      <c r="K1116" s="17" t="str">
        <f>HYPERLINK("http://ictvonline.org/taxonomyHistory.asp?taxnode_id=20171301","ICTVonline=20171301")</f>
        <v>ICTVonline=20171301</v>
      </c>
      <c r="L1116" s="3">
        <v>1115</v>
      </c>
    </row>
    <row r="1117" spans="1:12" x14ac:dyDescent="0.15">
      <c r="A1117" s="1" t="s">
        <v>1341</v>
      </c>
      <c r="B1117" s="1" t="s">
        <v>904</v>
      </c>
      <c r="D1117" s="1" t="s">
        <v>3506</v>
      </c>
      <c r="E1117" s="1" t="s">
        <v>3523</v>
      </c>
      <c r="F1117" s="3">
        <v>0</v>
      </c>
      <c r="G1117" s="8" t="s">
        <v>2771</v>
      </c>
      <c r="H1117" s="8" t="s">
        <v>5160</v>
      </c>
      <c r="I1117" s="3">
        <v>30</v>
      </c>
      <c r="J1117" s="3" t="s">
        <v>5297</v>
      </c>
      <c r="K1117" s="17" t="str">
        <f>HYPERLINK("http://ictvonline.org/taxonomyHistory.asp?taxnode_id=20171302","ICTVonline=20171302")</f>
        <v>ICTVonline=20171302</v>
      </c>
      <c r="L1117" s="3">
        <v>1116</v>
      </c>
    </row>
    <row r="1118" spans="1:12" x14ac:dyDescent="0.15">
      <c r="A1118" s="1" t="s">
        <v>1341</v>
      </c>
      <c r="B1118" s="1" t="s">
        <v>904</v>
      </c>
      <c r="D1118" s="1" t="s">
        <v>3524</v>
      </c>
      <c r="E1118" s="1" t="s">
        <v>3525</v>
      </c>
      <c r="F1118" s="3">
        <v>1</v>
      </c>
      <c r="G1118" s="8" t="s">
        <v>2771</v>
      </c>
      <c r="H1118" s="8" t="s">
        <v>5159</v>
      </c>
      <c r="I1118" s="3">
        <v>30</v>
      </c>
      <c r="J1118" s="3" t="s">
        <v>5511</v>
      </c>
      <c r="K1118" s="17" t="str">
        <f>HYPERLINK("http://ictvonline.org/taxonomyHistory.asp?taxnode_id=20171304","ICTVonline=20171304")</f>
        <v>ICTVonline=20171304</v>
      </c>
      <c r="L1118" s="3">
        <v>1117</v>
      </c>
    </row>
    <row r="1119" spans="1:12" x14ac:dyDescent="0.15">
      <c r="A1119" s="1" t="s">
        <v>1341</v>
      </c>
      <c r="B1119" s="1" t="s">
        <v>904</v>
      </c>
      <c r="D1119" s="1" t="s">
        <v>3524</v>
      </c>
      <c r="E1119" s="1" t="s">
        <v>3526</v>
      </c>
      <c r="F1119" s="3">
        <v>0</v>
      </c>
      <c r="G1119" s="8" t="s">
        <v>2771</v>
      </c>
      <c r="H1119" s="8" t="s">
        <v>5159</v>
      </c>
      <c r="I1119" s="3">
        <v>30</v>
      </c>
      <c r="J1119" s="3" t="s">
        <v>5511</v>
      </c>
      <c r="K1119" s="17" t="str">
        <f>HYPERLINK("http://ictvonline.org/taxonomyHistory.asp?taxnode_id=20171305","ICTVonline=20171305")</f>
        <v>ICTVonline=20171305</v>
      </c>
      <c r="L1119" s="3">
        <v>1118</v>
      </c>
    </row>
    <row r="1120" spans="1:12" x14ac:dyDescent="0.15">
      <c r="A1120" s="1" t="s">
        <v>1341</v>
      </c>
      <c r="B1120" s="1" t="s">
        <v>904</v>
      </c>
      <c r="D1120" s="1" t="s">
        <v>3524</v>
      </c>
      <c r="E1120" s="1" t="s">
        <v>3527</v>
      </c>
      <c r="F1120" s="3">
        <v>0</v>
      </c>
      <c r="G1120" s="8" t="s">
        <v>2771</v>
      </c>
      <c r="H1120" s="8" t="s">
        <v>5159</v>
      </c>
      <c r="I1120" s="3">
        <v>30</v>
      </c>
      <c r="J1120" s="3" t="s">
        <v>5511</v>
      </c>
      <c r="K1120" s="17" t="str">
        <f>HYPERLINK("http://ictvonline.org/taxonomyHistory.asp?taxnode_id=20171306","ICTVonline=20171306")</f>
        <v>ICTVonline=20171306</v>
      </c>
      <c r="L1120" s="3">
        <v>1119</v>
      </c>
    </row>
    <row r="1121" spans="1:12" x14ac:dyDescent="0.15">
      <c r="A1121" s="1" t="s">
        <v>1341</v>
      </c>
      <c r="B1121" s="1" t="s">
        <v>904</v>
      </c>
      <c r="D1121" s="1" t="s">
        <v>3524</v>
      </c>
      <c r="E1121" s="1" t="s">
        <v>3528</v>
      </c>
      <c r="F1121" s="3">
        <v>0</v>
      </c>
      <c r="G1121" s="8" t="s">
        <v>2771</v>
      </c>
      <c r="H1121" s="8" t="s">
        <v>5159</v>
      </c>
      <c r="I1121" s="3">
        <v>30</v>
      </c>
      <c r="J1121" s="3" t="s">
        <v>5511</v>
      </c>
      <c r="K1121" s="17" t="str">
        <f>HYPERLINK("http://ictvonline.org/taxonomyHistory.asp?taxnode_id=20171307","ICTVonline=20171307")</f>
        <v>ICTVonline=20171307</v>
      </c>
      <c r="L1121" s="3">
        <v>1120</v>
      </c>
    </row>
    <row r="1122" spans="1:12" x14ac:dyDescent="0.15">
      <c r="A1122" s="1" t="s">
        <v>1341</v>
      </c>
      <c r="B1122" s="1" t="s">
        <v>904</v>
      </c>
      <c r="D1122" s="1" t="s">
        <v>4698</v>
      </c>
      <c r="E1122" s="1" t="s">
        <v>4699</v>
      </c>
      <c r="F1122" s="3">
        <v>0</v>
      </c>
      <c r="G1122" s="8" t="s">
        <v>2771</v>
      </c>
      <c r="H1122" s="8" t="s">
        <v>5159</v>
      </c>
      <c r="I1122" s="3">
        <v>31</v>
      </c>
      <c r="J1122" s="3" t="s">
        <v>5512</v>
      </c>
      <c r="K1122" s="17" t="str">
        <f>HYPERLINK("http://ictvonline.org/taxonomyHistory.asp?taxnode_id=20171309","ICTVonline=20171309")</f>
        <v>ICTVonline=20171309</v>
      </c>
      <c r="L1122" s="3">
        <v>1121</v>
      </c>
    </row>
    <row r="1123" spans="1:12" x14ac:dyDescent="0.15">
      <c r="A1123" s="1" t="s">
        <v>1341</v>
      </c>
      <c r="B1123" s="1" t="s">
        <v>904</v>
      </c>
      <c r="D1123" s="1" t="s">
        <v>4698</v>
      </c>
      <c r="E1123" s="1" t="s">
        <v>4700</v>
      </c>
      <c r="F1123" s="3">
        <v>0</v>
      </c>
      <c r="G1123" s="8" t="s">
        <v>2771</v>
      </c>
      <c r="H1123" s="8" t="s">
        <v>5159</v>
      </c>
      <c r="I1123" s="3">
        <v>31</v>
      </c>
      <c r="J1123" s="3" t="s">
        <v>5512</v>
      </c>
      <c r="K1123" s="17" t="str">
        <f>HYPERLINK("http://ictvonline.org/taxonomyHistory.asp?taxnode_id=20171310","ICTVonline=20171310")</f>
        <v>ICTVonline=20171310</v>
      </c>
      <c r="L1123" s="3">
        <v>1122</v>
      </c>
    </row>
    <row r="1124" spans="1:12" x14ac:dyDescent="0.15">
      <c r="A1124" s="1" t="s">
        <v>1341</v>
      </c>
      <c r="B1124" s="1" t="s">
        <v>904</v>
      </c>
      <c r="D1124" s="1" t="s">
        <v>4698</v>
      </c>
      <c r="E1124" s="1" t="s">
        <v>4701</v>
      </c>
      <c r="F1124" s="3">
        <v>0</v>
      </c>
      <c r="G1124" s="8" t="s">
        <v>2771</v>
      </c>
      <c r="H1124" s="8" t="s">
        <v>5159</v>
      </c>
      <c r="I1124" s="3">
        <v>31</v>
      </c>
      <c r="J1124" s="3" t="s">
        <v>5512</v>
      </c>
      <c r="K1124" s="17" t="str">
        <f>HYPERLINK("http://ictvonline.org/taxonomyHistory.asp?taxnode_id=20171311","ICTVonline=20171311")</f>
        <v>ICTVonline=20171311</v>
      </c>
      <c r="L1124" s="3">
        <v>1123</v>
      </c>
    </row>
    <row r="1125" spans="1:12" x14ac:dyDescent="0.15">
      <c r="A1125" s="1" t="s">
        <v>1341</v>
      </c>
      <c r="B1125" s="1" t="s">
        <v>904</v>
      </c>
      <c r="D1125" s="1" t="s">
        <v>4698</v>
      </c>
      <c r="E1125" s="1" t="s">
        <v>4702</v>
      </c>
      <c r="F1125" s="3">
        <v>1</v>
      </c>
      <c r="G1125" s="8" t="s">
        <v>2771</v>
      </c>
      <c r="H1125" s="8" t="s">
        <v>5159</v>
      </c>
      <c r="I1125" s="3">
        <v>31</v>
      </c>
      <c r="J1125" s="3" t="s">
        <v>5512</v>
      </c>
      <c r="K1125" s="17" t="str">
        <f>HYPERLINK("http://ictvonline.org/taxonomyHistory.asp?taxnode_id=20171312","ICTVonline=20171312")</f>
        <v>ICTVonline=20171312</v>
      </c>
      <c r="L1125" s="3">
        <v>1124</v>
      </c>
    </row>
    <row r="1126" spans="1:12" x14ac:dyDescent="0.15">
      <c r="A1126" s="1" t="s">
        <v>1341</v>
      </c>
      <c r="B1126" s="1" t="s">
        <v>904</v>
      </c>
      <c r="D1126" s="1" t="s">
        <v>4703</v>
      </c>
      <c r="E1126" s="1" t="s">
        <v>4704</v>
      </c>
      <c r="F1126" s="3">
        <v>1</v>
      </c>
      <c r="G1126" s="8" t="s">
        <v>2771</v>
      </c>
      <c r="H1126" s="8" t="s">
        <v>5159</v>
      </c>
      <c r="I1126" s="3">
        <v>31</v>
      </c>
      <c r="J1126" s="3" t="s">
        <v>5513</v>
      </c>
      <c r="K1126" s="17" t="str">
        <f>HYPERLINK("http://ictvonline.org/taxonomyHistory.asp?taxnode_id=20171314","ICTVonline=20171314")</f>
        <v>ICTVonline=20171314</v>
      </c>
      <c r="L1126" s="3">
        <v>1125</v>
      </c>
    </row>
    <row r="1127" spans="1:12" x14ac:dyDescent="0.15">
      <c r="A1127" s="1" t="s">
        <v>1341</v>
      </c>
      <c r="B1127" s="1" t="s">
        <v>904</v>
      </c>
      <c r="D1127" s="1" t="s">
        <v>3529</v>
      </c>
      <c r="E1127" s="1" t="s">
        <v>3530</v>
      </c>
      <c r="F1127" s="3">
        <v>1</v>
      </c>
      <c r="G1127" s="8" t="s">
        <v>2771</v>
      </c>
      <c r="H1127" s="8" t="s">
        <v>5160</v>
      </c>
      <c r="I1127" s="3">
        <v>30</v>
      </c>
      <c r="J1127" s="3" t="s">
        <v>5297</v>
      </c>
      <c r="K1127" s="17" t="str">
        <f>HYPERLINK("http://ictvonline.org/taxonomyHistory.asp?taxnode_id=20171316","ICTVonline=20171316")</f>
        <v>ICTVonline=20171316</v>
      </c>
      <c r="L1127" s="3">
        <v>1126</v>
      </c>
    </row>
    <row r="1128" spans="1:12" x14ac:dyDescent="0.15">
      <c r="A1128" s="1" t="s">
        <v>1341</v>
      </c>
      <c r="B1128" s="1" t="s">
        <v>904</v>
      </c>
      <c r="D1128" s="1" t="s">
        <v>3531</v>
      </c>
      <c r="E1128" s="1" t="s">
        <v>3532</v>
      </c>
      <c r="F1128" s="3">
        <v>0</v>
      </c>
      <c r="G1128" s="8" t="s">
        <v>2771</v>
      </c>
      <c r="H1128" s="8" t="s">
        <v>5159</v>
      </c>
      <c r="I1128" s="3">
        <v>30</v>
      </c>
      <c r="J1128" s="3" t="s">
        <v>5514</v>
      </c>
      <c r="K1128" s="17" t="str">
        <f>HYPERLINK("http://ictvonline.org/taxonomyHistory.asp?taxnode_id=20171318","ICTVonline=20171318")</f>
        <v>ICTVonline=20171318</v>
      </c>
      <c r="L1128" s="3">
        <v>1127</v>
      </c>
    </row>
    <row r="1129" spans="1:12" x14ac:dyDescent="0.15">
      <c r="A1129" s="1" t="s">
        <v>1341</v>
      </c>
      <c r="B1129" s="1" t="s">
        <v>904</v>
      </c>
      <c r="D1129" s="1" t="s">
        <v>3531</v>
      </c>
      <c r="E1129" s="1" t="s">
        <v>3533</v>
      </c>
      <c r="F1129" s="3">
        <v>1</v>
      </c>
      <c r="G1129" s="8" t="s">
        <v>2771</v>
      </c>
      <c r="H1129" s="8" t="s">
        <v>5159</v>
      </c>
      <c r="I1129" s="3">
        <v>30</v>
      </c>
      <c r="J1129" s="3" t="s">
        <v>5514</v>
      </c>
      <c r="K1129" s="17" t="str">
        <f>HYPERLINK("http://ictvonline.org/taxonomyHistory.asp?taxnode_id=20171319","ICTVonline=20171319")</f>
        <v>ICTVonline=20171319</v>
      </c>
      <c r="L1129" s="3">
        <v>1128</v>
      </c>
    </row>
    <row r="1130" spans="1:12" x14ac:dyDescent="0.15">
      <c r="A1130" s="1" t="s">
        <v>1341</v>
      </c>
      <c r="B1130" s="1" t="s">
        <v>904</v>
      </c>
      <c r="D1130" s="1" t="s">
        <v>3534</v>
      </c>
      <c r="E1130" s="1" t="s">
        <v>3535</v>
      </c>
      <c r="F1130" s="3">
        <v>0</v>
      </c>
      <c r="G1130" s="8" t="s">
        <v>2771</v>
      </c>
      <c r="H1130" s="8" t="s">
        <v>5160</v>
      </c>
      <c r="I1130" s="3">
        <v>30</v>
      </c>
      <c r="J1130" s="3" t="s">
        <v>5297</v>
      </c>
      <c r="K1130" s="17" t="str">
        <f>HYPERLINK("http://ictvonline.org/taxonomyHistory.asp?taxnode_id=20171321","ICTVonline=20171321")</f>
        <v>ICTVonline=20171321</v>
      </c>
      <c r="L1130" s="3">
        <v>1129</v>
      </c>
    </row>
    <row r="1131" spans="1:12" x14ac:dyDescent="0.15">
      <c r="A1131" s="1" t="s">
        <v>1341</v>
      </c>
      <c r="B1131" s="1" t="s">
        <v>904</v>
      </c>
      <c r="D1131" s="1" t="s">
        <v>3534</v>
      </c>
      <c r="E1131" s="1" t="s">
        <v>3536</v>
      </c>
      <c r="F1131" s="3">
        <v>0</v>
      </c>
      <c r="G1131" s="8" t="s">
        <v>2771</v>
      </c>
      <c r="H1131" s="8" t="s">
        <v>5160</v>
      </c>
      <c r="I1131" s="3">
        <v>30</v>
      </c>
      <c r="J1131" s="3" t="s">
        <v>5297</v>
      </c>
      <c r="K1131" s="17" t="str">
        <f>HYPERLINK("http://ictvonline.org/taxonomyHistory.asp?taxnode_id=20171322","ICTVonline=20171322")</f>
        <v>ICTVonline=20171322</v>
      </c>
      <c r="L1131" s="3">
        <v>1130</v>
      </c>
    </row>
    <row r="1132" spans="1:12" x14ac:dyDescent="0.15">
      <c r="A1132" s="1" t="s">
        <v>1341</v>
      </c>
      <c r="B1132" s="1" t="s">
        <v>904</v>
      </c>
      <c r="D1132" s="1" t="s">
        <v>3534</v>
      </c>
      <c r="E1132" s="1" t="s">
        <v>3537</v>
      </c>
      <c r="F1132" s="3">
        <v>0</v>
      </c>
      <c r="G1132" s="8" t="s">
        <v>2771</v>
      </c>
      <c r="H1132" s="8" t="s">
        <v>5159</v>
      </c>
      <c r="I1132" s="3">
        <v>30</v>
      </c>
      <c r="J1132" s="3" t="s">
        <v>5515</v>
      </c>
      <c r="K1132" s="17" t="str">
        <f>HYPERLINK("http://ictvonline.org/taxonomyHistory.asp?taxnode_id=20171323","ICTVonline=20171323")</f>
        <v>ICTVonline=20171323</v>
      </c>
      <c r="L1132" s="3">
        <v>1131</v>
      </c>
    </row>
    <row r="1133" spans="1:12" x14ac:dyDescent="0.15">
      <c r="A1133" s="1" t="s">
        <v>1341</v>
      </c>
      <c r="B1133" s="1" t="s">
        <v>904</v>
      </c>
      <c r="D1133" s="1" t="s">
        <v>3534</v>
      </c>
      <c r="E1133" s="1" t="s">
        <v>3538</v>
      </c>
      <c r="F1133" s="3">
        <v>0</v>
      </c>
      <c r="G1133" s="8" t="s">
        <v>2771</v>
      </c>
      <c r="H1133" s="8" t="s">
        <v>5160</v>
      </c>
      <c r="I1133" s="3">
        <v>30</v>
      </c>
      <c r="J1133" s="3" t="s">
        <v>5297</v>
      </c>
      <c r="K1133" s="17" t="str">
        <f>HYPERLINK("http://ictvonline.org/taxonomyHistory.asp?taxnode_id=20171324","ICTVonline=20171324")</f>
        <v>ICTVonline=20171324</v>
      </c>
      <c r="L1133" s="3">
        <v>1132</v>
      </c>
    </row>
    <row r="1134" spans="1:12" x14ac:dyDescent="0.15">
      <c r="A1134" s="1" t="s">
        <v>1341</v>
      </c>
      <c r="B1134" s="1" t="s">
        <v>904</v>
      </c>
      <c r="D1134" s="1" t="s">
        <v>3534</v>
      </c>
      <c r="E1134" s="1" t="s">
        <v>3539</v>
      </c>
      <c r="F1134" s="3">
        <v>0</v>
      </c>
      <c r="G1134" s="8" t="s">
        <v>2771</v>
      </c>
      <c r="H1134" s="8" t="s">
        <v>5159</v>
      </c>
      <c r="I1134" s="3">
        <v>30</v>
      </c>
      <c r="J1134" s="3" t="s">
        <v>5515</v>
      </c>
      <c r="K1134" s="17" t="str">
        <f>HYPERLINK("http://ictvonline.org/taxonomyHistory.asp?taxnode_id=20171325","ICTVonline=20171325")</f>
        <v>ICTVonline=20171325</v>
      </c>
      <c r="L1134" s="3">
        <v>1133</v>
      </c>
    </row>
    <row r="1135" spans="1:12" x14ac:dyDescent="0.15">
      <c r="A1135" s="1" t="s">
        <v>1341</v>
      </c>
      <c r="B1135" s="1" t="s">
        <v>904</v>
      </c>
      <c r="D1135" s="1" t="s">
        <v>3534</v>
      </c>
      <c r="E1135" s="1" t="s">
        <v>3540</v>
      </c>
      <c r="F1135" s="3">
        <v>0</v>
      </c>
      <c r="G1135" s="8" t="s">
        <v>2771</v>
      </c>
      <c r="H1135" s="8" t="s">
        <v>5160</v>
      </c>
      <c r="I1135" s="3">
        <v>30</v>
      </c>
      <c r="J1135" s="3" t="s">
        <v>5297</v>
      </c>
      <c r="K1135" s="17" t="str">
        <f>HYPERLINK("http://ictvonline.org/taxonomyHistory.asp?taxnode_id=20171326","ICTVonline=20171326")</f>
        <v>ICTVonline=20171326</v>
      </c>
      <c r="L1135" s="3">
        <v>1134</v>
      </c>
    </row>
    <row r="1136" spans="1:12" x14ac:dyDescent="0.15">
      <c r="A1136" s="1" t="s">
        <v>1341</v>
      </c>
      <c r="B1136" s="1" t="s">
        <v>904</v>
      </c>
      <c r="D1136" s="1" t="s">
        <v>3534</v>
      </c>
      <c r="E1136" s="1" t="s">
        <v>4705</v>
      </c>
      <c r="F1136" s="3">
        <v>0</v>
      </c>
      <c r="G1136" s="8" t="s">
        <v>2771</v>
      </c>
      <c r="H1136" s="8" t="s">
        <v>5159</v>
      </c>
      <c r="I1136" s="3">
        <v>31</v>
      </c>
      <c r="J1136" s="3" t="s">
        <v>5298</v>
      </c>
      <c r="K1136" s="17" t="str">
        <f>HYPERLINK("http://ictvonline.org/taxonomyHistory.asp?taxnode_id=20171327","ICTVonline=20171327")</f>
        <v>ICTVonline=20171327</v>
      </c>
      <c r="L1136" s="3">
        <v>1135</v>
      </c>
    </row>
    <row r="1137" spans="1:12" x14ac:dyDescent="0.15">
      <c r="A1137" s="1" t="s">
        <v>1341</v>
      </c>
      <c r="B1137" s="1" t="s">
        <v>904</v>
      </c>
      <c r="D1137" s="1" t="s">
        <v>3534</v>
      </c>
      <c r="E1137" s="1" t="s">
        <v>3541</v>
      </c>
      <c r="F1137" s="3">
        <v>1</v>
      </c>
      <c r="G1137" s="8" t="s">
        <v>2771</v>
      </c>
      <c r="H1137" s="8" t="s">
        <v>5163</v>
      </c>
      <c r="I1137" s="3">
        <v>30</v>
      </c>
      <c r="J1137" s="3" t="s">
        <v>5297</v>
      </c>
      <c r="K1137" s="17" t="str">
        <f>HYPERLINK("http://ictvonline.org/taxonomyHistory.asp?taxnode_id=20171328","ICTVonline=20171328")</f>
        <v>ICTVonline=20171328</v>
      </c>
      <c r="L1137" s="3">
        <v>1136</v>
      </c>
    </row>
    <row r="1138" spans="1:12" x14ac:dyDescent="0.15">
      <c r="A1138" s="1" t="s">
        <v>1341</v>
      </c>
      <c r="B1138" s="1" t="s">
        <v>904</v>
      </c>
      <c r="D1138" s="1" t="s">
        <v>3534</v>
      </c>
      <c r="E1138" s="1" t="s">
        <v>4706</v>
      </c>
      <c r="F1138" s="3">
        <v>0</v>
      </c>
      <c r="G1138" s="8" t="s">
        <v>2771</v>
      </c>
      <c r="H1138" s="8" t="s">
        <v>5159</v>
      </c>
      <c r="I1138" s="3">
        <v>31</v>
      </c>
      <c r="J1138" s="3" t="s">
        <v>5298</v>
      </c>
      <c r="K1138" s="17" t="str">
        <f>HYPERLINK("http://ictvonline.org/taxonomyHistory.asp?taxnode_id=20171329","ICTVonline=20171329")</f>
        <v>ICTVonline=20171329</v>
      </c>
      <c r="L1138" s="3">
        <v>1137</v>
      </c>
    </row>
    <row r="1139" spans="1:12" x14ac:dyDescent="0.15">
      <c r="A1139" s="1" t="s">
        <v>1341</v>
      </c>
      <c r="B1139" s="1" t="s">
        <v>904</v>
      </c>
      <c r="D1139" s="1" t="s">
        <v>3534</v>
      </c>
      <c r="E1139" s="1" t="s">
        <v>3542</v>
      </c>
      <c r="F1139" s="3">
        <v>0</v>
      </c>
      <c r="G1139" s="8" t="s">
        <v>2771</v>
      </c>
      <c r="H1139" s="8" t="s">
        <v>5159</v>
      </c>
      <c r="I1139" s="3">
        <v>30</v>
      </c>
      <c r="J1139" s="3" t="s">
        <v>5515</v>
      </c>
      <c r="K1139" s="17" t="str">
        <f>HYPERLINK("http://ictvonline.org/taxonomyHistory.asp?taxnode_id=20171330","ICTVonline=20171330")</f>
        <v>ICTVonline=20171330</v>
      </c>
      <c r="L1139" s="3">
        <v>1138</v>
      </c>
    </row>
    <row r="1140" spans="1:12" x14ac:dyDescent="0.15">
      <c r="A1140" s="1" t="s">
        <v>1341</v>
      </c>
      <c r="B1140" s="1" t="s">
        <v>904</v>
      </c>
      <c r="D1140" s="1" t="s">
        <v>3534</v>
      </c>
      <c r="E1140" s="1" t="s">
        <v>3543</v>
      </c>
      <c r="F1140" s="3">
        <v>0</v>
      </c>
      <c r="G1140" s="8" t="s">
        <v>2771</v>
      </c>
      <c r="H1140" s="8" t="s">
        <v>5160</v>
      </c>
      <c r="I1140" s="3">
        <v>30</v>
      </c>
      <c r="J1140" s="3" t="s">
        <v>5297</v>
      </c>
      <c r="K1140" s="17" t="str">
        <f>HYPERLINK("http://ictvonline.org/taxonomyHistory.asp?taxnode_id=20171331","ICTVonline=20171331")</f>
        <v>ICTVonline=20171331</v>
      </c>
      <c r="L1140" s="3">
        <v>1139</v>
      </c>
    </row>
    <row r="1141" spans="1:12" x14ac:dyDescent="0.15">
      <c r="A1141" s="1" t="s">
        <v>1341</v>
      </c>
      <c r="B1141" s="1" t="s">
        <v>904</v>
      </c>
      <c r="D1141" s="1" t="s">
        <v>3534</v>
      </c>
      <c r="E1141" s="1" t="s">
        <v>3544</v>
      </c>
      <c r="F1141" s="3">
        <v>0</v>
      </c>
      <c r="G1141" s="8" t="s">
        <v>2771</v>
      </c>
      <c r="H1141" s="8" t="s">
        <v>5159</v>
      </c>
      <c r="I1141" s="3">
        <v>30</v>
      </c>
      <c r="J1141" s="3" t="s">
        <v>5515</v>
      </c>
      <c r="K1141" s="17" t="str">
        <f>HYPERLINK("http://ictvonline.org/taxonomyHistory.asp?taxnode_id=20171332","ICTVonline=20171332")</f>
        <v>ICTVonline=20171332</v>
      </c>
      <c r="L1141" s="3">
        <v>1140</v>
      </c>
    </row>
    <row r="1142" spans="1:12" x14ac:dyDescent="0.15">
      <c r="A1142" s="1" t="s">
        <v>1341</v>
      </c>
      <c r="B1142" s="1" t="s">
        <v>904</v>
      </c>
      <c r="D1142" s="1" t="s">
        <v>4707</v>
      </c>
      <c r="E1142" s="1" t="s">
        <v>4708</v>
      </c>
      <c r="F1142" s="3">
        <v>1</v>
      </c>
      <c r="G1142" s="8" t="s">
        <v>2771</v>
      </c>
      <c r="H1142" s="8" t="s">
        <v>5159</v>
      </c>
      <c r="I1142" s="3">
        <v>31</v>
      </c>
      <c r="J1142" s="3" t="s">
        <v>5516</v>
      </c>
      <c r="K1142" s="17" t="str">
        <f>HYPERLINK("http://ictvonline.org/taxonomyHistory.asp?taxnode_id=20171334","ICTVonline=20171334")</f>
        <v>ICTVonline=20171334</v>
      </c>
      <c r="L1142" s="3">
        <v>1141</v>
      </c>
    </row>
    <row r="1143" spans="1:12" x14ac:dyDescent="0.15">
      <c r="A1143" s="1" t="s">
        <v>1341</v>
      </c>
      <c r="B1143" s="1" t="s">
        <v>904</v>
      </c>
      <c r="D1143" s="1" t="s">
        <v>4709</v>
      </c>
      <c r="E1143" s="1" t="s">
        <v>4710</v>
      </c>
      <c r="F1143" s="3">
        <v>1</v>
      </c>
      <c r="G1143" s="8" t="s">
        <v>2771</v>
      </c>
      <c r="H1143" s="8" t="s">
        <v>5159</v>
      </c>
      <c r="I1143" s="3">
        <v>31</v>
      </c>
      <c r="J1143" s="3" t="s">
        <v>5517</v>
      </c>
      <c r="K1143" s="17" t="str">
        <f>HYPERLINK("http://ictvonline.org/taxonomyHistory.asp?taxnode_id=20171336","ICTVonline=20171336")</f>
        <v>ICTVonline=20171336</v>
      </c>
      <c r="L1143" s="3">
        <v>1142</v>
      </c>
    </row>
    <row r="1144" spans="1:12" x14ac:dyDescent="0.15">
      <c r="A1144" s="1" t="s">
        <v>1341</v>
      </c>
      <c r="B1144" s="1" t="s">
        <v>904</v>
      </c>
      <c r="D1144" s="1" t="s">
        <v>4709</v>
      </c>
      <c r="E1144" s="1" t="s">
        <v>4711</v>
      </c>
      <c r="F1144" s="3">
        <v>0</v>
      </c>
      <c r="G1144" s="8" t="s">
        <v>2771</v>
      </c>
      <c r="H1144" s="8" t="s">
        <v>5159</v>
      </c>
      <c r="I1144" s="3">
        <v>31</v>
      </c>
      <c r="J1144" s="3" t="s">
        <v>5517</v>
      </c>
      <c r="K1144" s="17" t="str">
        <f>HYPERLINK("http://ictvonline.org/taxonomyHistory.asp?taxnode_id=20171337","ICTVonline=20171337")</f>
        <v>ICTVonline=20171337</v>
      </c>
      <c r="L1144" s="3">
        <v>1143</v>
      </c>
    </row>
    <row r="1145" spans="1:12" x14ac:dyDescent="0.15">
      <c r="A1145" s="1" t="s">
        <v>1341</v>
      </c>
      <c r="B1145" s="1" t="s">
        <v>904</v>
      </c>
      <c r="D1145" s="1" t="s">
        <v>4709</v>
      </c>
      <c r="E1145" s="1" t="s">
        <v>4712</v>
      </c>
      <c r="F1145" s="3">
        <v>0</v>
      </c>
      <c r="G1145" s="8" t="s">
        <v>2771</v>
      </c>
      <c r="H1145" s="8" t="s">
        <v>5159</v>
      </c>
      <c r="I1145" s="3">
        <v>31</v>
      </c>
      <c r="J1145" s="3" t="s">
        <v>5517</v>
      </c>
      <c r="K1145" s="17" t="str">
        <f>HYPERLINK("http://ictvonline.org/taxonomyHistory.asp?taxnode_id=20171338","ICTVonline=20171338")</f>
        <v>ICTVonline=20171338</v>
      </c>
      <c r="L1145" s="3">
        <v>1144</v>
      </c>
    </row>
    <row r="1146" spans="1:12" x14ac:dyDescent="0.15">
      <c r="A1146" s="1" t="s">
        <v>1341</v>
      </c>
      <c r="B1146" s="1" t="s">
        <v>904</v>
      </c>
      <c r="D1146" s="1" t="s">
        <v>4713</v>
      </c>
      <c r="E1146" s="1" t="s">
        <v>4714</v>
      </c>
      <c r="F1146" s="3">
        <v>0</v>
      </c>
      <c r="G1146" s="8" t="s">
        <v>2771</v>
      </c>
      <c r="H1146" s="8" t="s">
        <v>5159</v>
      </c>
      <c r="I1146" s="3">
        <v>31</v>
      </c>
      <c r="J1146" s="3" t="s">
        <v>5518</v>
      </c>
      <c r="K1146" s="17" t="str">
        <f>HYPERLINK("http://ictvonline.org/taxonomyHistory.asp?taxnode_id=20171340","ICTVonline=20171340")</f>
        <v>ICTVonline=20171340</v>
      </c>
      <c r="L1146" s="3">
        <v>1145</v>
      </c>
    </row>
    <row r="1147" spans="1:12" x14ac:dyDescent="0.15">
      <c r="A1147" s="1" t="s">
        <v>1341</v>
      </c>
      <c r="B1147" s="1" t="s">
        <v>904</v>
      </c>
      <c r="D1147" s="1" t="s">
        <v>4713</v>
      </c>
      <c r="E1147" s="1" t="s">
        <v>4715</v>
      </c>
      <c r="F1147" s="3">
        <v>1</v>
      </c>
      <c r="G1147" s="8" t="s">
        <v>2771</v>
      </c>
      <c r="H1147" s="8" t="s">
        <v>5159</v>
      </c>
      <c r="I1147" s="3">
        <v>31</v>
      </c>
      <c r="J1147" s="3" t="s">
        <v>5518</v>
      </c>
      <c r="K1147" s="17" t="str">
        <f>HYPERLINK("http://ictvonline.org/taxonomyHistory.asp?taxnode_id=20171341","ICTVonline=20171341")</f>
        <v>ICTVonline=20171341</v>
      </c>
      <c r="L1147" s="3">
        <v>1146</v>
      </c>
    </row>
    <row r="1148" spans="1:12" x14ac:dyDescent="0.15">
      <c r="A1148" s="1" t="s">
        <v>1341</v>
      </c>
      <c r="B1148" s="1" t="s">
        <v>904</v>
      </c>
      <c r="D1148" s="1" t="s">
        <v>3545</v>
      </c>
      <c r="E1148" s="1" t="s">
        <v>3546</v>
      </c>
      <c r="F1148" s="3">
        <v>0</v>
      </c>
      <c r="G1148" s="8" t="s">
        <v>2771</v>
      </c>
      <c r="H1148" s="8" t="s">
        <v>5160</v>
      </c>
      <c r="I1148" s="3">
        <v>30</v>
      </c>
      <c r="J1148" s="3" t="s">
        <v>5297</v>
      </c>
      <c r="K1148" s="17" t="str">
        <f>HYPERLINK("http://ictvonline.org/taxonomyHistory.asp?taxnode_id=20171343","ICTVonline=20171343")</f>
        <v>ICTVonline=20171343</v>
      </c>
      <c r="L1148" s="3">
        <v>1147</v>
      </c>
    </row>
    <row r="1149" spans="1:12" x14ac:dyDescent="0.15">
      <c r="A1149" s="1" t="s">
        <v>1341</v>
      </c>
      <c r="B1149" s="1" t="s">
        <v>904</v>
      </c>
      <c r="D1149" s="1" t="s">
        <v>3545</v>
      </c>
      <c r="E1149" s="1" t="s">
        <v>3547</v>
      </c>
      <c r="F1149" s="3">
        <v>0</v>
      </c>
      <c r="G1149" s="8" t="s">
        <v>2771</v>
      </c>
      <c r="H1149" s="8" t="s">
        <v>5160</v>
      </c>
      <c r="I1149" s="3">
        <v>30</v>
      </c>
      <c r="J1149" s="3" t="s">
        <v>5297</v>
      </c>
      <c r="K1149" s="17" t="str">
        <f>HYPERLINK("http://ictvonline.org/taxonomyHistory.asp?taxnode_id=20171344","ICTVonline=20171344")</f>
        <v>ICTVonline=20171344</v>
      </c>
      <c r="L1149" s="3">
        <v>1148</v>
      </c>
    </row>
    <row r="1150" spans="1:12" x14ac:dyDescent="0.15">
      <c r="A1150" s="1" t="s">
        <v>1341</v>
      </c>
      <c r="B1150" s="1" t="s">
        <v>904</v>
      </c>
      <c r="D1150" s="1" t="s">
        <v>3545</v>
      </c>
      <c r="E1150" s="1" t="s">
        <v>3548</v>
      </c>
      <c r="F1150" s="3">
        <v>0</v>
      </c>
      <c r="G1150" s="8" t="s">
        <v>2771</v>
      </c>
      <c r="H1150" s="8" t="s">
        <v>5160</v>
      </c>
      <c r="I1150" s="3">
        <v>30</v>
      </c>
      <c r="J1150" s="3" t="s">
        <v>5297</v>
      </c>
      <c r="K1150" s="17" t="str">
        <f>HYPERLINK("http://ictvonline.org/taxonomyHistory.asp?taxnode_id=20171345","ICTVonline=20171345")</f>
        <v>ICTVonline=20171345</v>
      </c>
      <c r="L1150" s="3">
        <v>1149</v>
      </c>
    </row>
    <row r="1151" spans="1:12" x14ac:dyDescent="0.15">
      <c r="A1151" s="1" t="s">
        <v>1341</v>
      </c>
      <c r="B1151" s="1" t="s">
        <v>904</v>
      </c>
      <c r="D1151" s="1" t="s">
        <v>3545</v>
      </c>
      <c r="E1151" s="1" t="s">
        <v>5179</v>
      </c>
      <c r="F1151" s="3">
        <v>0</v>
      </c>
      <c r="G1151" s="8" t="s">
        <v>2771</v>
      </c>
      <c r="H1151" s="8" t="s">
        <v>5162</v>
      </c>
      <c r="I1151" s="3">
        <v>31</v>
      </c>
      <c r="J1151" s="3" t="s">
        <v>5300</v>
      </c>
      <c r="K1151" s="17" t="str">
        <f>HYPERLINK("http://ictvonline.org/taxonomyHistory.asp?taxnode_id=20171346","ICTVonline=20171346")</f>
        <v>ICTVonline=20171346</v>
      </c>
      <c r="L1151" s="3">
        <v>1150</v>
      </c>
    </row>
    <row r="1152" spans="1:12" x14ac:dyDescent="0.15">
      <c r="A1152" s="1" t="s">
        <v>1341</v>
      </c>
      <c r="B1152" s="1" t="s">
        <v>904</v>
      </c>
      <c r="D1152" s="1" t="s">
        <v>3545</v>
      </c>
      <c r="E1152" s="1" t="s">
        <v>3549</v>
      </c>
      <c r="F1152" s="3">
        <v>0</v>
      </c>
      <c r="G1152" s="8" t="s">
        <v>2771</v>
      </c>
      <c r="H1152" s="8" t="s">
        <v>5160</v>
      </c>
      <c r="I1152" s="3">
        <v>30</v>
      </c>
      <c r="J1152" s="3" t="s">
        <v>5297</v>
      </c>
      <c r="K1152" s="17" t="str">
        <f>HYPERLINK("http://ictvonline.org/taxonomyHistory.asp?taxnode_id=20171347","ICTVonline=20171347")</f>
        <v>ICTVonline=20171347</v>
      </c>
      <c r="L1152" s="3">
        <v>1151</v>
      </c>
    </row>
    <row r="1153" spans="1:12" x14ac:dyDescent="0.15">
      <c r="A1153" s="1" t="s">
        <v>1341</v>
      </c>
      <c r="B1153" s="1" t="s">
        <v>904</v>
      </c>
      <c r="D1153" s="1" t="s">
        <v>3545</v>
      </c>
      <c r="E1153" s="1" t="s">
        <v>3550</v>
      </c>
      <c r="F1153" s="3">
        <v>0</v>
      </c>
      <c r="G1153" s="8" t="s">
        <v>2771</v>
      </c>
      <c r="H1153" s="8" t="s">
        <v>5160</v>
      </c>
      <c r="I1153" s="3">
        <v>30</v>
      </c>
      <c r="J1153" s="3" t="s">
        <v>5297</v>
      </c>
      <c r="K1153" s="17" t="str">
        <f>HYPERLINK("http://ictvonline.org/taxonomyHistory.asp?taxnode_id=20171348","ICTVonline=20171348")</f>
        <v>ICTVonline=20171348</v>
      </c>
      <c r="L1153" s="3">
        <v>1152</v>
      </c>
    </row>
    <row r="1154" spans="1:12" x14ac:dyDescent="0.15">
      <c r="A1154" s="1" t="s">
        <v>1341</v>
      </c>
      <c r="B1154" s="1" t="s">
        <v>904</v>
      </c>
      <c r="D1154" s="1" t="s">
        <v>3545</v>
      </c>
      <c r="E1154" s="1" t="s">
        <v>3551</v>
      </c>
      <c r="F1154" s="3">
        <v>0</v>
      </c>
      <c r="G1154" s="8" t="s">
        <v>2771</v>
      </c>
      <c r="H1154" s="8" t="s">
        <v>5160</v>
      </c>
      <c r="I1154" s="3">
        <v>30</v>
      </c>
      <c r="J1154" s="3" t="s">
        <v>5297</v>
      </c>
      <c r="K1154" s="17" t="str">
        <f>HYPERLINK("http://ictvonline.org/taxonomyHistory.asp?taxnode_id=20171349","ICTVonline=20171349")</f>
        <v>ICTVonline=20171349</v>
      </c>
      <c r="L1154" s="3">
        <v>1153</v>
      </c>
    </row>
    <row r="1155" spans="1:12" x14ac:dyDescent="0.15">
      <c r="A1155" s="1" t="s">
        <v>1341</v>
      </c>
      <c r="B1155" s="1" t="s">
        <v>904</v>
      </c>
      <c r="D1155" s="1" t="s">
        <v>3545</v>
      </c>
      <c r="E1155" s="1" t="s">
        <v>3552</v>
      </c>
      <c r="F1155" s="3">
        <v>0</v>
      </c>
      <c r="G1155" s="8" t="s">
        <v>2771</v>
      </c>
      <c r="H1155" s="8" t="s">
        <v>5160</v>
      </c>
      <c r="I1155" s="3">
        <v>30</v>
      </c>
      <c r="J1155" s="3" t="s">
        <v>5297</v>
      </c>
      <c r="K1155" s="17" t="str">
        <f>HYPERLINK("http://ictvonline.org/taxonomyHistory.asp?taxnode_id=20171350","ICTVonline=20171350")</f>
        <v>ICTVonline=20171350</v>
      </c>
      <c r="L1155" s="3">
        <v>1154</v>
      </c>
    </row>
    <row r="1156" spans="1:12" x14ac:dyDescent="0.15">
      <c r="A1156" s="1" t="s">
        <v>1341</v>
      </c>
      <c r="B1156" s="1" t="s">
        <v>904</v>
      </c>
      <c r="D1156" s="1" t="s">
        <v>3545</v>
      </c>
      <c r="E1156" s="1" t="s">
        <v>3553</v>
      </c>
      <c r="F1156" s="3">
        <v>1</v>
      </c>
      <c r="G1156" s="8" t="s">
        <v>2771</v>
      </c>
      <c r="H1156" s="8" t="s">
        <v>5160</v>
      </c>
      <c r="I1156" s="3">
        <v>30</v>
      </c>
      <c r="J1156" s="3" t="s">
        <v>5297</v>
      </c>
      <c r="K1156" s="17" t="str">
        <f>HYPERLINK("http://ictvonline.org/taxonomyHistory.asp?taxnode_id=20171351","ICTVonline=20171351")</f>
        <v>ICTVonline=20171351</v>
      </c>
      <c r="L1156" s="3">
        <v>1155</v>
      </c>
    </row>
    <row r="1157" spans="1:12" x14ac:dyDescent="0.15">
      <c r="A1157" s="1" t="s">
        <v>1341</v>
      </c>
      <c r="B1157" s="1" t="s">
        <v>904</v>
      </c>
      <c r="D1157" s="1" t="s">
        <v>3554</v>
      </c>
      <c r="E1157" s="1" t="s">
        <v>3555</v>
      </c>
      <c r="F1157" s="3">
        <v>0</v>
      </c>
      <c r="G1157" s="8" t="s">
        <v>2771</v>
      </c>
      <c r="H1157" s="8" t="s">
        <v>5160</v>
      </c>
      <c r="I1157" s="3">
        <v>30</v>
      </c>
      <c r="J1157" s="3" t="s">
        <v>5297</v>
      </c>
      <c r="K1157" s="17" t="str">
        <f>HYPERLINK("http://ictvonline.org/taxonomyHistory.asp?taxnode_id=20171353","ICTVonline=20171353")</f>
        <v>ICTVonline=20171353</v>
      </c>
      <c r="L1157" s="3">
        <v>1156</v>
      </c>
    </row>
    <row r="1158" spans="1:12" x14ac:dyDescent="0.15">
      <c r="A1158" s="1" t="s">
        <v>1341</v>
      </c>
      <c r="B1158" s="1" t="s">
        <v>904</v>
      </c>
      <c r="D1158" s="1" t="s">
        <v>3554</v>
      </c>
      <c r="E1158" s="1" t="s">
        <v>3556</v>
      </c>
      <c r="F1158" s="3">
        <v>1</v>
      </c>
      <c r="G1158" s="8" t="s">
        <v>2771</v>
      </c>
      <c r="H1158" s="8" t="s">
        <v>5160</v>
      </c>
      <c r="I1158" s="3">
        <v>30</v>
      </c>
      <c r="J1158" s="3" t="s">
        <v>5297</v>
      </c>
      <c r="K1158" s="17" t="str">
        <f>HYPERLINK("http://ictvonline.org/taxonomyHistory.asp?taxnode_id=20171354","ICTVonline=20171354")</f>
        <v>ICTVonline=20171354</v>
      </c>
      <c r="L1158" s="3">
        <v>1157</v>
      </c>
    </row>
    <row r="1159" spans="1:12" x14ac:dyDescent="0.15">
      <c r="A1159" s="1" t="s">
        <v>1341</v>
      </c>
      <c r="B1159" s="1" t="s">
        <v>904</v>
      </c>
      <c r="D1159" s="1" t="s">
        <v>5519</v>
      </c>
      <c r="E1159" s="1" t="s">
        <v>5520</v>
      </c>
      <c r="F1159" s="3">
        <v>1</v>
      </c>
      <c r="G1159" s="8" t="s">
        <v>2771</v>
      </c>
      <c r="H1159" s="8" t="s">
        <v>5159</v>
      </c>
      <c r="I1159" s="3">
        <v>32</v>
      </c>
      <c r="J1159" s="3" t="s">
        <v>5521</v>
      </c>
      <c r="K1159" s="17" t="str">
        <f>HYPERLINK("http://ictvonline.org/taxonomyHistory.asp?taxnode_id=20175563","ICTVonline=20175563")</f>
        <v>ICTVonline=20175563</v>
      </c>
      <c r="L1159" s="3">
        <v>1158</v>
      </c>
    </row>
    <row r="1160" spans="1:12" x14ac:dyDescent="0.15">
      <c r="A1160" s="1" t="s">
        <v>1341</v>
      </c>
      <c r="B1160" s="1" t="s">
        <v>904</v>
      </c>
      <c r="D1160" s="1" t="s">
        <v>3557</v>
      </c>
      <c r="E1160" s="1" t="s">
        <v>3558</v>
      </c>
      <c r="F1160" s="3">
        <v>0</v>
      </c>
      <c r="G1160" s="8" t="s">
        <v>2771</v>
      </c>
      <c r="H1160" s="8" t="s">
        <v>5160</v>
      </c>
      <c r="I1160" s="3">
        <v>30</v>
      </c>
      <c r="J1160" s="3" t="s">
        <v>5297</v>
      </c>
      <c r="K1160" s="17" t="str">
        <f>HYPERLINK("http://ictvonline.org/taxonomyHistory.asp?taxnode_id=20171356","ICTVonline=20171356")</f>
        <v>ICTVonline=20171356</v>
      </c>
      <c r="L1160" s="3">
        <v>1159</v>
      </c>
    </row>
    <row r="1161" spans="1:12" x14ac:dyDescent="0.15">
      <c r="A1161" s="1" t="s">
        <v>1341</v>
      </c>
      <c r="B1161" s="1" t="s">
        <v>904</v>
      </c>
      <c r="D1161" s="1" t="s">
        <v>3557</v>
      </c>
      <c r="E1161" s="1" t="s">
        <v>3559</v>
      </c>
      <c r="F1161" s="3">
        <v>1</v>
      </c>
      <c r="G1161" s="8" t="s">
        <v>2771</v>
      </c>
      <c r="H1161" s="8" t="s">
        <v>5160</v>
      </c>
      <c r="I1161" s="3">
        <v>30</v>
      </c>
      <c r="J1161" s="3" t="s">
        <v>5297</v>
      </c>
      <c r="K1161" s="17" t="str">
        <f>HYPERLINK("http://ictvonline.org/taxonomyHistory.asp?taxnode_id=20171357","ICTVonline=20171357")</f>
        <v>ICTVonline=20171357</v>
      </c>
      <c r="L1161" s="3">
        <v>1160</v>
      </c>
    </row>
    <row r="1162" spans="1:12" x14ac:dyDescent="0.15">
      <c r="A1162" s="1" t="s">
        <v>1341</v>
      </c>
      <c r="B1162" s="1" t="s">
        <v>904</v>
      </c>
      <c r="D1162" s="1" t="s">
        <v>3557</v>
      </c>
      <c r="E1162" s="1" t="s">
        <v>3560</v>
      </c>
      <c r="F1162" s="3">
        <v>0</v>
      </c>
      <c r="G1162" s="8" t="s">
        <v>2771</v>
      </c>
      <c r="H1162" s="8" t="s">
        <v>5160</v>
      </c>
      <c r="I1162" s="3">
        <v>30</v>
      </c>
      <c r="J1162" s="3" t="s">
        <v>5297</v>
      </c>
      <c r="K1162" s="17" t="str">
        <f>HYPERLINK("http://ictvonline.org/taxonomyHistory.asp?taxnode_id=20171358","ICTVonline=20171358")</f>
        <v>ICTVonline=20171358</v>
      </c>
      <c r="L1162" s="3">
        <v>1161</v>
      </c>
    </row>
    <row r="1163" spans="1:12" x14ac:dyDescent="0.15">
      <c r="A1163" s="1" t="s">
        <v>1341</v>
      </c>
      <c r="B1163" s="1" t="s">
        <v>904</v>
      </c>
      <c r="D1163" s="1" t="s">
        <v>3557</v>
      </c>
      <c r="E1163" s="1" t="s">
        <v>3561</v>
      </c>
      <c r="F1163" s="3">
        <v>0</v>
      </c>
      <c r="G1163" s="8" t="s">
        <v>2771</v>
      </c>
      <c r="H1163" s="8" t="s">
        <v>5160</v>
      </c>
      <c r="I1163" s="3">
        <v>30</v>
      </c>
      <c r="J1163" s="3" t="s">
        <v>5297</v>
      </c>
      <c r="K1163" s="17" t="str">
        <f>HYPERLINK("http://ictvonline.org/taxonomyHistory.asp?taxnode_id=20171359","ICTVonline=20171359")</f>
        <v>ICTVonline=20171359</v>
      </c>
      <c r="L1163" s="3">
        <v>1162</v>
      </c>
    </row>
    <row r="1164" spans="1:12" x14ac:dyDescent="0.15">
      <c r="A1164" s="1" t="s">
        <v>1341</v>
      </c>
      <c r="B1164" s="1" t="s">
        <v>904</v>
      </c>
      <c r="D1164" s="1" t="s">
        <v>3557</v>
      </c>
      <c r="E1164" s="1" t="s">
        <v>3562</v>
      </c>
      <c r="F1164" s="3">
        <v>0</v>
      </c>
      <c r="G1164" s="8" t="s">
        <v>2771</v>
      </c>
      <c r="H1164" s="8" t="s">
        <v>5160</v>
      </c>
      <c r="I1164" s="3">
        <v>30</v>
      </c>
      <c r="J1164" s="3" t="s">
        <v>5297</v>
      </c>
      <c r="K1164" s="17" t="str">
        <f>HYPERLINK("http://ictvonline.org/taxonomyHistory.asp?taxnode_id=20171360","ICTVonline=20171360")</f>
        <v>ICTVonline=20171360</v>
      </c>
      <c r="L1164" s="3">
        <v>1163</v>
      </c>
    </row>
    <row r="1165" spans="1:12" x14ac:dyDescent="0.15">
      <c r="A1165" s="1" t="s">
        <v>1341</v>
      </c>
      <c r="B1165" s="1" t="s">
        <v>904</v>
      </c>
      <c r="D1165" s="1" t="s">
        <v>3557</v>
      </c>
      <c r="E1165" s="1" t="s">
        <v>3563</v>
      </c>
      <c r="F1165" s="3">
        <v>0</v>
      </c>
      <c r="G1165" s="8" t="s">
        <v>2771</v>
      </c>
      <c r="H1165" s="8" t="s">
        <v>5160</v>
      </c>
      <c r="I1165" s="3">
        <v>30</v>
      </c>
      <c r="J1165" s="3" t="s">
        <v>5297</v>
      </c>
      <c r="K1165" s="17" t="str">
        <f>HYPERLINK("http://ictvonline.org/taxonomyHistory.asp?taxnode_id=20171361","ICTVonline=20171361")</f>
        <v>ICTVonline=20171361</v>
      </c>
      <c r="L1165" s="3">
        <v>1164</v>
      </c>
    </row>
    <row r="1166" spans="1:12" x14ac:dyDescent="0.15">
      <c r="A1166" s="1" t="s">
        <v>1341</v>
      </c>
      <c r="B1166" s="1" t="s">
        <v>904</v>
      </c>
      <c r="D1166" s="1" t="s">
        <v>5522</v>
      </c>
      <c r="E1166" s="1" t="s">
        <v>5523</v>
      </c>
      <c r="F1166" s="3">
        <v>1</v>
      </c>
      <c r="G1166" s="8" t="s">
        <v>2771</v>
      </c>
      <c r="H1166" s="8" t="s">
        <v>5159</v>
      </c>
      <c r="I1166" s="3">
        <v>32</v>
      </c>
      <c r="J1166" s="3" t="s">
        <v>5524</v>
      </c>
      <c r="K1166" s="17" t="str">
        <f>HYPERLINK("http://ictvonline.org/taxonomyHistory.asp?taxnode_id=20175565","ICTVonline=20175565")</f>
        <v>ICTVonline=20175565</v>
      </c>
      <c r="L1166" s="3">
        <v>1165</v>
      </c>
    </row>
    <row r="1167" spans="1:12" x14ac:dyDescent="0.15">
      <c r="A1167" s="1" t="s">
        <v>1341</v>
      </c>
      <c r="B1167" s="1" t="s">
        <v>904</v>
      </c>
      <c r="D1167" s="1" t="s">
        <v>908</v>
      </c>
      <c r="E1167" s="1" t="s">
        <v>3367</v>
      </c>
      <c r="F1167" s="3">
        <v>0</v>
      </c>
      <c r="G1167" s="8" t="s">
        <v>2771</v>
      </c>
      <c r="H1167" s="8" t="s">
        <v>5161</v>
      </c>
      <c r="I1167" s="3">
        <v>31</v>
      </c>
      <c r="J1167" s="3" t="s">
        <v>5505</v>
      </c>
      <c r="K1167" s="17" t="str">
        <f>HYPERLINK("http://ictvonline.org/taxonomyHistory.asp?taxnode_id=20171363","ICTVonline=20171363")</f>
        <v>ICTVonline=20171363</v>
      </c>
      <c r="L1167" s="3">
        <v>1166</v>
      </c>
    </row>
    <row r="1168" spans="1:12" x14ac:dyDescent="0.15">
      <c r="A1168" s="1" t="s">
        <v>1341</v>
      </c>
      <c r="B1168" s="1" t="s">
        <v>904</v>
      </c>
      <c r="D1168" s="1" t="s">
        <v>4716</v>
      </c>
      <c r="E1168" s="1" t="s">
        <v>4717</v>
      </c>
      <c r="F1168" s="3">
        <v>1</v>
      </c>
      <c r="G1168" s="8" t="s">
        <v>2771</v>
      </c>
      <c r="H1168" s="8" t="s">
        <v>5159</v>
      </c>
      <c r="I1168" s="3">
        <v>31</v>
      </c>
      <c r="J1168" s="3" t="s">
        <v>5525</v>
      </c>
      <c r="K1168" s="17" t="str">
        <f>HYPERLINK("http://ictvonline.org/taxonomyHistory.asp?taxnode_id=20171365","ICTVonline=20171365")</f>
        <v>ICTVonline=20171365</v>
      </c>
      <c r="L1168" s="3">
        <v>1167</v>
      </c>
    </row>
    <row r="1169" spans="1:12" x14ac:dyDescent="0.15">
      <c r="A1169" s="1" t="s">
        <v>1341</v>
      </c>
      <c r="B1169" s="1" t="s">
        <v>904</v>
      </c>
      <c r="D1169" s="1" t="s">
        <v>4718</v>
      </c>
      <c r="E1169" s="1" t="s">
        <v>4719</v>
      </c>
      <c r="F1169" s="3">
        <v>1</v>
      </c>
      <c r="G1169" s="8" t="s">
        <v>2771</v>
      </c>
      <c r="H1169" s="8" t="s">
        <v>5159</v>
      </c>
      <c r="I1169" s="3">
        <v>31</v>
      </c>
      <c r="J1169" s="3" t="s">
        <v>5526</v>
      </c>
      <c r="K1169" s="17" t="str">
        <f>HYPERLINK("http://ictvonline.org/taxonomyHistory.asp?taxnode_id=20171367","ICTVonline=20171367")</f>
        <v>ICTVonline=20171367</v>
      </c>
      <c r="L1169" s="3">
        <v>1168</v>
      </c>
    </row>
    <row r="1170" spans="1:12" x14ac:dyDescent="0.15">
      <c r="A1170" s="1" t="s">
        <v>1341</v>
      </c>
      <c r="B1170" s="1" t="s">
        <v>904</v>
      </c>
      <c r="D1170" s="1" t="s">
        <v>3564</v>
      </c>
      <c r="E1170" s="1" t="s">
        <v>3565</v>
      </c>
      <c r="F1170" s="3">
        <v>1</v>
      </c>
      <c r="G1170" s="8" t="s">
        <v>2771</v>
      </c>
      <c r="H1170" s="8" t="s">
        <v>5160</v>
      </c>
      <c r="I1170" s="3">
        <v>30</v>
      </c>
      <c r="J1170" s="3" t="s">
        <v>5297</v>
      </c>
      <c r="K1170" s="17" t="str">
        <f>HYPERLINK("http://ictvonline.org/taxonomyHistory.asp?taxnode_id=20171369","ICTVonline=20171369")</f>
        <v>ICTVonline=20171369</v>
      </c>
      <c r="L1170" s="3">
        <v>1169</v>
      </c>
    </row>
    <row r="1171" spans="1:12" x14ac:dyDescent="0.15">
      <c r="A1171" s="1" t="s">
        <v>1341</v>
      </c>
      <c r="B1171" s="1" t="s">
        <v>904</v>
      </c>
      <c r="D1171" s="1" t="s">
        <v>4720</v>
      </c>
      <c r="E1171" s="1" t="s">
        <v>4721</v>
      </c>
      <c r="F1171" s="3">
        <v>1</v>
      </c>
      <c r="G1171" s="8" t="s">
        <v>2771</v>
      </c>
      <c r="H1171" s="8" t="s">
        <v>5159</v>
      </c>
      <c r="I1171" s="3">
        <v>31</v>
      </c>
      <c r="J1171" s="3" t="s">
        <v>5527</v>
      </c>
      <c r="K1171" s="17" t="str">
        <f>HYPERLINK("http://ictvonline.org/taxonomyHistory.asp?taxnode_id=20171371","ICTVonline=20171371")</f>
        <v>ICTVonline=20171371</v>
      </c>
      <c r="L1171" s="3">
        <v>1170</v>
      </c>
    </row>
    <row r="1172" spans="1:12" x14ac:dyDescent="0.15">
      <c r="A1172" s="1" t="s">
        <v>1341</v>
      </c>
      <c r="B1172" s="1" t="s">
        <v>904</v>
      </c>
      <c r="D1172" s="1" t="s">
        <v>5528</v>
      </c>
      <c r="E1172" s="1" t="s">
        <v>5529</v>
      </c>
      <c r="F1172" s="3">
        <v>0</v>
      </c>
      <c r="G1172" s="8" t="s">
        <v>2771</v>
      </c>
      <c r="H1172" s="8" t="s">
        <v>5159</v>
      </c>
      <c r="I1172" s="3">
        <v>32</v>
      </c>
      <c r="J1172" s="3" t="s">
        <v>5530</v>
      </c>
      <c r="K1172" s="17" t="str">
        <f>HYPERLINK("http://ictvonline.org/taxonomyHistory.asp?taxnode_id=20175567","ICTVonline=20175567")</f>
        <v>ICTVonline=20175567</v>
      </c>
      <c r="L1172" s="3">
        <v>1171</v>
      </c>
    </row>
    <row r="1173" spans="1:12" x14ac:dyDescent="0.15">
      <c r="A1173" s="1" t="s">
        <v>1341</v>
      </c>
      <c r="B1173" s="1" t="s">
        <v>904</v>
      </c>
      <c r="D1173" s="1" t="s">
        <v>5528</v>
      </c>
      <c r="E1173" s="1" t="s">
        <v>5531</v>
      </c>
      <c r="F1173" s="3">
        <v>1</v>
      </c>
      <c r="G1173" s="8" t="s">
        <v>2771</v>
      </c>
      <c r="H1173" s="8" t="s">
        <v>5159</v>
      </c>
      <c r="I1173" s="3">
        <v>32</v>
      </c>
      <c r="J1173" s="3" t="s">
        <v>5530</v>
      </c>
      <c r="K1173" s="17" t="str">
        <f>HYPERLINK("http://ictvonline.org/taxonomyHistory.asp?taxnode_id=20175568","ICTVonline=20175568")</f>
        <v>ICTVonline=20175568</v>
      </c>
      <c r="L1173" s="3">
        <v>1172</v>
      </c>
    </row>
    <row r="1174" spans="1:12" x14ac:dyDescent="0.15">
      <c r="A1174" s="1" t="s">
        <v>1341</v>
      </c>
      <c r="B1174" s="1" t="s">
        <v>904</v>
      </c>
      <c r="D1174" s="1" t="s">
        <v>4722</v>
      </c>
      <c r="E1174" s="1" t="s">
        <v>4723</v>
      </c>
      <c r="F1174" s="3">
        <v>0</v>
      </c>
      <c r="G1174" s="8" t="s">
        <v>2771</v>
      </c>
      <c r="H1174" s="8" t="s">
        <v>5159</v>
      </c>
      <c r="I1174" s="3">
        <v>31</v>
      </c>
      <c r="J1174" s="3" t="s">
        <v>5532</v>
      </c>
      <c r="K1174" s="17" t="str">
        <f>HYPERLINK("http://ictvonline.org/taxonomyHistory.asp?taxnode_id=20171373","ICTVonline=20171373")</f>
        <v>ICTVonline=20171373</v>
      </c>
      <c r="L1174" s="3">
        <v>1173</v>
      </c>
    </row>
    <row r="1175" spans="1:12" x14ac:dyDescent="0.15">
      <c r="A1175" s="1" t="s">
        <v>1341</v>
      </c>
      <c r="B1175" s="1" t="s">
        <v>904</v>
      </c>
      <c r="D1175" s="1" t="s">
        <v>4722</v>
      </c>
      <c r="E1175" s="1" t="s">
        <v>4724</v>
      </c>
      <c r="F1175" s="3">
        <v>0</v>
      </c>
      <c r="G1175" s="8" t="s">
        <v>2771</v>
      </c>
      <c r="H1175" s="8" t="s">
        <v>5159</v>
      </c>
      <c r="I1175" s="3">
        <v>31</v>
      </c>
      <c r="J1175" s="3" t="s">
        <v>5532</v>
      </c>
      <c r="K1175" s="17" t="str">
        <f>HYPERLINK("http://ictvonline.org/taxonomyHistory.asp?taxnode_id=20171374","ICTVonline=20171374")</f>
        <v>ICTVonline=20171374</v>
      </c>
      <c r="L1175" s="3">
        <v>1174</v>
      </c>
    </row>
    <row r="1176" spans="1:12" x14ac:dyDescent="0.15">
      <c r="A1176" s="1" t="s">
        <v>1341</v>
      </c>
      <c r="B1176" s="1" t="s">
        <v>904</v>
      </c>
      <c r="D1176" s="1" t="s">
        <v>4722</v>
      </c>
      <c r="E1176" s="1" t="s">
        <v>4725</v>
      </c>
      <c r="F1176" s="3">
        <v>1</v>
      </c>
      <c r="G1176" s="8" t="s">
        <v>2771</v>
      </c>
      <c r="H1176" s="8" t="s">
        <v>5159</v>
      </c>
      <c r="I1176" s="3">
        <v>31</v>
      </c>
      <c r="J1176" s="3" t="s">
        <v>5532</v>
      </c>
      <c r="K1176" s="17" t="str">
        <f>HYPERLINK("http://ictvonline.org/taxonomyHistory.asp?taxnode_id=20171375","ICTVonline=20171375")</f>
        <v>ICTVonline=20171375</v>
      </c>
      <c r="L1176" s="3">
        <v>1175</v>
      </c>
    </row>
    <row r="1177" spans="1:12" x14ac:dyDescent="0.15">
      <c r="A1177" s="1" t="s">
        <v>1341</v>
      </c>
      <c r="B1177" s="1" t="s">
        <v>904</v>
      </c>
      <c r="D1177" s="1" t="s">
        <v>3566</v>
      </c>
      <c r="E1177" s="1" t="s">
        <v>3567</v>
      </c>
      <c r="F1177" s="3">
        <v>0</v>
      </c>
      <c r="G1177" s="8" t="s">
        <v>2771</v>
      </c>
      <c r="H1177" s="8" t="s">
        <v>5160</v>
      </c>
      <c r="I1177" s="3">
        <v>30</v>
      </c>
      <c r="J1177" s="3" t="s">
        <v>5297</v>
      </c>
      <c r="K1177" s="17" t="str">
        <f>HYPERLINK("http://ictvonline.org/taxonomyHistory.asp?taxnode_id=20171377","ICTVonline=20171377")</f>
        <v>ICTVonline=20171377</v>
      </c>
      <c r="L1177" s="3">
        <v>1176</v>
      </c>
    </row>
    <row r="1178" spans="1:12" x14ac:dyDescent="0.15">
      <c r="A1178" s="1" t="s">
        <v>1341</v>
      </c>
      <c r="B1178" s="1" t="s">
        <v>904</v>
      </c>
      <c r="D1178" s="1" t="s">
        <v>3566</v>
      </c>
      <c r="E1178" s="1" t="s">
        <v>3568</v>
      </c>
      <c r="F1178" s="3">
        <v>0</v>
      </c>
      <c r="G1178" s="8" t="s">
        <v>2771</v>
      </c>
      <c r="H1178" s="8" t="s">
        <v>5160</v>
      </c>
      <c r="I1178" s="3">
        <v>30</v>
      </c>
      <c r="J1178" s="3" t="s">
        <v>5297</v>
      </c>
      <c r="K1178" s="17" t="str">
        <f>HYPERLINK("http://ictvonline.org/taxonomyHistory.asp?taxnode_id=20171378","ICTVonline=20171378")</f>
        <v>ICTVonline=20171378</v>
      </c>
      <c r="L1178" s="3">
        <v>1177</v>
      </c>
    </row>
    <row r="1179" spans="1:12" x14ac:dyDescent="0.15">
      <c r="A1179" s="1" t="s">
        <v>1341</v>
      </c>
      <c r="B1179" s="1" t="s">
        <v>904</v>
      </c>
      <c r="D1179" s="1" t="s">
        <v>3566</v>
      </c>
      <c r="E1179" s="1" t="s">
        <v>3569</v>
      </c>
      <c r="F1179" s="3">
        <v>0</v>
      </c>
      <c r="G1179" s="8" t="s">
        <v>2771</v>
      </c>
      <c r="H1179" s="8" t="s">
        <v>5160</v>
      </c>
      <c r="I1179" s="3">
        <v>30</v>
      </c>
      <c r="J1179" s="3" t="s">
        <v>5297</v>
      </c>
      <c r="K1179" s="17" t="str">
        <f>HYPERLINK("http://ictvonline.org/taxonomyHistory.asp?taxnode_id=20171379","ICTVonline=20171379")</f>
        <v>ICTVonline=20171379</v>
      </c>
      <c r="L1179" s="3">
        <v>1178</v>
      </c>
    </row>
    <row r="1180" spans="1:12" x14ac:dyDescent="0.15">
      <c r="A1180" s="1" t="s">
        <v>1341</v>
      </c>
      <c r="B1180" s="1" t="s">
        <v>904</v>
      </c>
      <c r="D1180" s="1" t="s">
        <v>3566</v>
      </c>
      <c r="E1180" s="1" t="s">
        <v>3570</v>
      </c>
      <c r="F1180" s="3">
        <v>0</v>
      </c>
      <c r="G1180" s="8" t="s">
        <v>2771</v>
      </c>
      <c r="H1180" s="8" t="s">
        <v>5160</v>
      </c>
      <c r="I1180" s="3">
        <v>30</v>
      </c>
      <c r="J1180" s="3" t="s">
        <v>5297</v>
      </c>
      <c r="K1180" s="17" t="str">
        <f>HYPERLINK("http://ictvonline.org/taxonomyHistory.asp?taxnode_id=20171380","ICTVonline=20171380")</f>
        <v>ICTVonline=20171380</v>
      </c>
      <c r="L1180" s="3">
        <v>1179</v>
      </c>
    </row>
    <row r="1181" spans="1:12" x14ac:dyDescent="0.15">
      <c r="A1181" s="1" t="s">
        <v>1341</v>
      </c>
      <c r="B1181" s="1" t="s">
        <v>904</v>
      </c>
      <c r="D1181" s="1" t="s">
        <v>3566</v>
      </c>
      <c r="E1181" s="1" t="s">
        <v>3571</v>
      </c>
      <c r="F1181" s="3">
        <v>1</v>
      </c>
      <c r="G1181" s="8" t="s">
        <v>2771</v>
      </c>
      <c r="H1181" s="8" t="s">
        <v>5160</v>
      </c>
      <c r="I1181" s="3">
        <v>30</v>
      </c>
      <c r="J1181" s="3" t="s">
        <v>5297</v>
      </c>
      <c r="K1181" s="17" t="str">
        <f>HYPERLINK("http://ictvonline.org/taxonomyHistory.asp?taxnode_id=20171381","ICTVonline=20171381")</f>
        <v>ICTVonline=20171381</v>
      </c>
      <c r="L1181" s="3">
        <v>1180</v>
      </c>
    </row>
    <row r="1182" spans="1:12" x14ac:dyDescent="0.15">
      <c r="A1182" s="1" t="s">
        <v>1341</v>
      </c>
      <c r="B1182" s="1" t="s">
        <v>904</v>
      </c>
      <c r="D1182" s="1" t="s">
        <v>4726</v>
      </c>
      <c r="E1182" s="1" t="s">
        <v>4727</v>
      </c>
      <c r="F1182" s="3">
        <v>0</v>
      </c>
      <c r="G1182" s="8" t="s">
        <v>2771</v>
      </c>
      <c r="H1182" s="8" t="s">
        <v>5159</v>
      </c>
      <c r="I1182" s="3">
        <v>31</v>
      </c>
      <c r="J1182" s="3" t="s">
        <v>5533</v>
      </c>
      <c r="K1182" s="17" t="str">
        <f>HYPERLINK("http://ictvonline.org/taxonomyHistory.asp?taxnode_id=20171383","ICTVonline=20171383")</f>
        <v>ICTVonline=20171383</v>
      </c>
      <c r="L1182" s="3">
        <v>1181</v>
      </c>
    </row>
    <row r="1183" spans="1:12" x14ac:dyDescent="0.15">
      <c r="A1183" s="1" t="s">
        <v>1341</v>
      </c>
      <c r="B1183" s="1" t="s">
        <v>904</v>
      </c>
      <c r="D1183" s="1" t="s">
        <v>4726</v>
      </c>
      <c r="E1183" s="1" t="s">
        <v>4728</v>
      </c>
      <c r="F1183" s="3">
        <v>1</v>
      </c>
      <c r="G1183" s="8" t="s">
        <v>2771</v>
      </c>
      <c r="H1183" s="8" t="s">
        <v>5159</v>
      </c>
      <c r="I1183" s="3">
        <v>31</v>
      </c>
      <c r="J1183" s="3" t="s">
        <v>5533</v>
      </c>
      <c r="K1183" s="17" t="str">
        <f>HYPERLINK("http://ictvonline.org/taxonomyHistory.asp?taxnode_id=20171384","ICTVonline=20171384")</f>
        <v>ICTVonline=20171384</v>
      </c>
      <c r="L1183" s="3">
        <v>1182</v>
      </c>
    </row>
    <row r="1184" spans="1:12" x14ac:dyDescent="0.15">
      <c r="A1184" s="1" t="s">
        <v>1341</v>
      </c>
      <c r="B1184" s="1" t="s">
        <v>904</v>
      </c>
      <c r="D1184" s="1" t="s">
        <v>3572</v>
      </c>
      <c r="E1184" s="1" t="s">
        <v>3573</v>
      </c>
      <c r="F1184" s="3">
        <v>0</v>
      </c>
      <c r="G1184" s="8" t="s">
        <v>2771</v>
      </c>
      <c r="H1184" s="8" t="s">
        <v>5160</v>
      </c>
      <c r="I1184" s="3">
        <v>30</v>
      </c>
      <c r="J1184" s="3" t="s">
        <v>5297</v>
      </c>
      <c r="K1184" s="17" t="str">
        <f>HYPERLINK("http://ictvonline.org/taxonomyHistory.asp?taxnode_id=20171386","ICTVonline=20171386")</f>
        <v>ICTVonline=20171386</v>
      </c>
      <c r="L1184" s="3">
        <v>1183</v>
      </c>
    </row>
    <row r="1185" spans="1:12" x14ac:dyDescent="0.15">
      <c r="A1185" s="1" t="s">
        <v>1341</v>
      </c>
      <c r="B1185" s="1" t="s">
        <v>904</v>
      </c>
      <c r="D1185" s="1" t="s">
        <v>3572</v>
      </c>
      <c r="E1185" s="1" t="s">
        <v>4729</v>
      </c>
      <c r="F1185" s="3">
        <v>0</v>
      </c>
      <c r="G1185" s="8" t="s">
        <v>2771</v>
      </c>
      <c r="H1185" s="8" t="s">
        <v>5159</v>
      </c>
      <c r="I1185" s="3">
        <v>31</v>
      </c>
      <c r="J1185" s="3" t="s">
        <v>5298</v>
      </c>
      <c r="K1185" s="17" t="str">
        <f>HYPERLINK("http://ictvonline.org/taxonomyHistory.asp?taxnode_id=20171387","ICTVonline=20171387")</f>
        <v>ICTVonline=20171387</v>
      </c>
      <c r="L1185" s="3">
        <v>1184</v>
      </c>
    </row>
    <row r="1186" spans="1:12" x14ac:dyDescent="0.15">
      <c r="A1186" s="1" t="s">
        <v>1341</v>
      </c>
      <c r="B1186" s="1" t="s">
        <v>904</v>
      </c>
      <c r="D1186" s="1" t="s">
        <v>3572</v>
      </c>
      <c r="E1186" s="1" t="s">
        <v>3574</v>
      </c>
      <c r="F1186" s="3">
        <v>0</v>
      </c>
      <c r="G1186" s="8" t="s">
        <v>2771</v>
      </c>
      <c r="H1186" s="8" t="s">
        <v>5160</v>
      </c>
      <c r="I1186" s="3">
        <v>30</v>
      </c>
      <c r="J1186" s="3" t="s">
        <v>5297</v>
      </c>
      <c r="K1186" s="17" t="str">
        <f>HYPERLINK("http://ictvonline.org/taxonomyHistory.asp?taxnode_id=20171388","ICTVonline=20171388")</f>
        <v>ICTVonline=20171388</v>
      </c>
      <c r="L1186" s="3">
        <v>1185</v>
      </c>
    </row>
    <row r="1187" spans="1:12" x14ac:dyDescent="0.15">
      <c r="A1187" s="1" t="s">
        <v>1341</v>
      </c>
      <c r="B1187" s="1" t="s">
        <v>904</v>
      </c>
      <c r="D1187" s="1" t="s">
        <v>3572</v>
      </c>
      <c r="E1187" s="1" t="s">
        <v>4730</v>
      </c>
      <c r="F1187" s="3">
        <v>0</v>
      </c>
      <c r="G1187" s="8" t="s">
        <v>2771</v>
      </c>
      <c r="H1187" s="8" t="s">
        <v>5159</v>
      </c>
      <c r="I1187" s="3">
        <v>31</v>
      </c>
      <c r="J1187" s="3" t="s">
        <v>5298</v>
      </c>
      <c r="K1187" s="17" t="str">
        <f>HYPERLINK("http://ictvonline.org/taxonomyHistory.asp?taxnode_id=20171389","ICTVonline=20171389")</f>
        <v>ICTVonline=20171389</v>
      </c>
      <c r="L1187" s="3">
        <v>1186</v>
      </c>
    </row>
    <row r="1188" spans="1:12" x14ac:dyDescent="0.15">
      <c r="A1188" s="1" t="s">
        <v>1341</v>
      </c>
      <c r="B1188" s="1" t="s">
        <v>904</v>
      </c>
      <c r="D1188" s="1" t="s">
        <v>3572</v>
      </c>
      <c r="E1188" s="1" t="s">
        <v>4731</v>
      </c>
      <c r="F1188" s="3">
        <v>0</v>
      </c>
      <c r="G1188" s="8" t="s">
        <v>2771</v>
      </c>
      <c r="H1188" s="8" t="s">
        <v>5159</v>
      </c>
      <c r="I1188" s="3">
        <v>31</v>
      </c>
      <c r="J1188" s="3" t="s">
        <v>5298</v>
      </c>
      <c r="K1188" s="17" t="str">
        <f>HYPERLINK("http://ictvonline.org/taxonomyHistory.asp?taxnode_id=20171390","ICTVonline=20171390")</f>
        <v>ICTVonline=20171390</v>
      </c>
      <c r="L1188" s="3">
        <v>1187</v>
      </c>
    </row>
    <row r="1189" spans="1:12" x14ac:dyDescent="0.15">
      <c r="A1189" s="1" t="s">
        <v>1341</v>
      </c>
      <c r="B1189" s="1" t="s">
        <v>904</v>
      </c>
      <c r="D1189" s="1" t="s">
        <v>3572</v>
      </c>
      <c r="E1189" s="1" t="s">
        <v>3575</v>
      </c>
      <c r="F1189" s="3">
        <v>1</v>
      </c>
      <c r="G1189" s="8" t="s">
        <v>2771</v>
      </c>
      <c r="H1189" s="8" t="s">
        <v>5160</v>
      </c>
      <c r="I1189" s="3">
        <v>30</v>
      </c>
      <c r="J1189" s="3" t="s">
        <v>5297</v>
      </c>
      <c r="K1189" s="17" t="str">
        <f>HYPERLINK("http://ictvonline.org/taxonomyHistory.asp?taxnode_id=20171391","ICTVonline=20171391")</f>
        <v>ICTVonline=20171391</v>
      </c>
      <c r="L1189" s="3">
        <v>1188</v>
      </c>
    </row>
    <row r="1190" spans="1:12" x14ac:dyDescent="0.15">
      <c r="A1190" s="1" t="s">
        <v>905</v>
      </c>
      <c r="B1190" s="1" t="s">
        <v>906</v>
      </c>
      <c r="D1190" s="1" t="s">
        <v>408</v>
      </c>
      <c r="E1190" s="1" t="s">
        <v>409</v>
      </c>
      <c r="F1190" s="3">
        <v>1</v>
      </c>
      <c r="G1190" s="8" t="s">
        <v>2771</v>
      </c>
      <c r="H1190" s="8" t="s">
        <v>5164</v>
      </c>
      <c r="I1190" s="3">
        <v>25</v>
      </c>
      <c r="J1190" s="3" t="s">
        <v>5534</v>
      </c>
      <c r="K1190" s="17" t="str">
        <f>HYPERLINK("http://ictvonline.org/taxonomyHistory.asp?taxnode_id=20171396","ICTVonline=20171396")</f>
        <v>ICTVonline=20171396</v>
      </c>
      <c r="L1190" s="3">
        <v>1189</v>
      </c>
    </row>
    <row r="1191" spans="1:12" x14ac:dyDescent="0.15">
      <c r="A1191" s="1" t="s">
        <v>905</v>
      </c>
      <c r="B1191" s="1" t="s">
        <v>906</v>
      </c>
      <c r="D1191" s="1" t="s">
        <v>408</v>
      </c>
      <c r="E1191" s="1" t="s">
        <v>1511</v>
      </c>
      <c r="F1191" s="3">
        <v>0</v>
      </c>
      <c r="G1191" s="8" t="s">
        <v>2771</v>
      </c>
      <c r="H1191" s="8" t="s">
        <v>5159</v>
      </c>
      <c r="I1191" s="3">
        <v>25</v>
      </c>
      <c r="J1191" s="3" t="s">
        <v>5534</v>
      </c>
      <c r="K1191" s="17" t="str">
        <f>HYPERLINK("http://ictvonline.org/taxonomyHistory.asp?taxnode_id=20171397","ICTVonline=20171397")</f>
        <v>ICTVonline=20171397</v>
      </c>
      <c r="L1191" s="3">
        <v>1190</v>
      </c>
    </row>
    <row r="1192" spans="1:12" x14ac:dyDescent="0.15">
      <c r="A1192" s="1" t="s">
        <v>905</v>
      </c>
      <c r="B1192" s="1" t="s">
        <v>906</v>
      </c>
      <c r="D1192" s="1" t="s">
        <v>408</v>
      </c>
      <c r="E1192" s="1" t="s">
        <v>5535</v>
      </c>
      <c r="F1192" s="3">
        <v>0</v>
      </c>
      <c r="G1192" s="8" t="s">
        <v>2771</v>
      </c>
      <c r="H1192" s="8" t="s">
        <v>5159</v>
      </c>
      <c r="I1192" s="3">
        <v>32</v>
      </c>
      <c r="J1192" s="3" t="s">
        <v>5536</v>
      </c>
      <c r="K1192" s="17" t="str">
        <f>HYPERLINK("http://ictvonline.org/taxonomyHistory.asp?taxnode_id=20175570","ICTVonline=20175570")</f>
        <v>ICTVonline=20175570</v>
      </c>
      <c r="L1192" s="3">
        <v>1191</v>
      </c>
    </row>
    <row r="1193" spans="1:12" x14ac:dyDescent="0.15">
      <c r="A1193" s="1" t="s">
        <v>905</v>
      </c>
      <c r="B1193" s="1" t="s">
        <v>906</v>
      </c>
      <c r="D1193" s="1" t="s">
        <v>1512</v>
      </c>
      <c r="E1193" s="1" t="s">
        <v>562</v>
      </c>
      <c r="F1193" s="3">
        <v>0</v>
      </c>
      <c r="G1193" s="8" t="s">
        <v>2771</v>
      </c>
      <c r="H1193" s="8" t="s">
        <v>5159</v>
      </c>
      <c r="I1193" s="3">
        <v>26</v>
      </c>
      <c r="J1193" s="3" t="s">
        <v>5537</v>
      </c>
      <c r="K1193" s="17" t="str">
        <f>HYPERLINK("http://ictvonline.org/taxonomyHistory.asp?taxnode_id=20171399","ICTVonline=20171399")</f>
        <v>ICTVonline=20171399</v>
      </c>
      <c r="L1193" s="3">
        <v>1192</v>
      </c>
    </row>
    <row r="1194" spans="1:12" x14ac:dyDescent="0.15">
      <c r="A1194" s="1" t="s">
        <v>905</v>
      </c>
      <c r="B1194" s="1" t="s">
        <v>906</v>
      </c>
      <c r="D1194" s="1" t="s">
        <v>1512</v>
      </c>
      <c r="E1194" s="1" t="s">
        <v>1513</v>
      </c>
      <c r="F1194" s="3">
        <v>0</v>
      </c>
      <c r="G1194" s="8" t="s">
        <v>2771</v>
      </c>
      <c r="H1194" s="8" t="s">
        <v>5159</v>
      </c>
      <c r="I1194" s="3">
        <v>25</v>
      </c>
      <c r="J1194" s="3" t="s">
        <v>5538</v>
      </c>
      <c r="K1194" s="17" t="str">
        <f>HYPERLINK("http://ictvonline.org/taxonomyHistory.asp?taxnode_id=20171400","ICTVonline=20171400")</f>
        <v>ICTVonline=20171400</v>
      </c>
      <c r="L1194" s="3">
        <v>1193</v>
      </c>
    </row>
    <row r="1195" spans="1:12" x14ac:dyDescent="0.15">
      <c r="A1195" s="1" t="s">
        <v>905</v>
      </c>
      <c r="B1195" s="1" t="s">
        <v>906</v>
      </c>
      <c r="D1195" s="1" t="s">
        <v>1512</v>
      </c>
      <c r="E1195" s="1" t="s">
        <v>1514</v>
      </c>
      <c r="F1195" s="3">
        <v>0</v>
      </c>
      <c r="G1195" s="8" t="s">
        <v>2771</v>
      </c>
      <c r="H1195" s="8" t="s">
        <v>5159</v>
      </c>
      <c r="I1195" s="3">
        <v>25</v>
      </c>
      <c r="J1195" s="3" t="s">
        <v>5538</v>
      </c>
      <c r="K1195" s="17" t="str">
        <f>HYPERLINK("http://ictvonline.org/taxonomyHistory.asp?taxnode_id=20171401","ICTVonline=20171401")</f>
        <v>ICTVonline=20171401</v>
      </c>
      <c r="L1195" s="3">
        <v>1194</v>
      </c>
    </row>
    <row r="1196" spans="1:12" x14ac:dyDescent="0.15">
      <c r="A1196" s="1" t="s">
        <v>905</v>
      </c>
      <c r="B1196" s="1" t="s">
        <v>906</v>
      </c>
      <c r="D1196" s="1" t="s">
        <v>1512</v>
      </c>
      <c r="E1196" s="1" t="s">
        <v>909</v>
      </c>
      <c r="F1196" s="3">
        <v>1</v>
      </c>
      <c r="G1196" s="8" t="s">
        <v>2771</v>
      </c>
      <c r="H1196" s="8" t="s">
        <v>5165</v>
      </c>
      <c r="I1196" s="3">
        <v>25</v>
      </c>
      <c r="J1196" s="3" t="s">
        <v>5538</v>
      </c>
      <c r="K1196" s="17" t="str">
        <f>HYPERLINK("http://ictvonline.org/taxonomyHistory.asp?taxnode_id=20171402","ICTVonline=20171402")</f>
        <v>ICTVonline=20171402</v>
      </c>
      <c r="L1196" s="3">
        <v>1195</v>
      </c>
    </row>
    <row r="1197" spans="1:12" x14ac:dyDescent="0.15">
      <c r="A1197" s="1" t="s">
        <v>905</v>
      </c>
      <c r="B1197" s="1" t="s">
        <v>906</v>
      </c>
      <c r="D1197" s="1" t="s">
        <v>1359</v>
      </c>
      <c r="E1197" s="1" t="s">
        <v>1533</v>
      </c>
      <c r="F1197" s="3">
        <v>0</v>
      </c>
      <c r="G1197" s="8" t="s">
        <v>2771</v>
      </c>
      <c r="H1197" s="8" t="s">
        <v>5159</v>
      </c>
      <c r="I1197" s="3">
        <v>25</v>
      </c>
      <c r="J1197" s="3" t="s">
        <v>5539</v>
      </c>
      <c r="K1197" s="17" t="str">
        <f>HYPERLINK("http://ictvonline.org/taxonomyHistory.asp?taxnode_id=20171404","ICTVonline=20171404")</f>
        <v>ICTVonline=20171404</v>
      </c>
      <c r="L1197" s="3">
        <v>1196</v>
      </c>
    </row>
    <row r="1198" spans="1:12" x14ac:dyDescent="0.15">
      <c r="A1198" s="1" t="s">
        <v>905</v>
      </c>
      <c r="B1198" s="1" t="s">
        <v>906</v>
      </c>
      <c r="D1198" s="1" t="s">
        <v>1359</v>
      </c>
      <c r="E1198" s="1" t="s">
        <v>907</v>
      </c>
      <c r="F1198" s="3">
        <v>1</v>
      </c>
      <c r="G1198" s="8" t="s">
        <v>2771</v>
      </c>
      <c r="H1198" s="8" t="s">
        <v>5161</v>
      </c>
      <c r="I1198" s="3">
        <v>24</v>
      </c>
      <c r="J1198" s="3" t="s">
        <v>5540</v>
      </c>
      <c r="K1198" s="17" t="str">
        <f>HYPERLINK("http://ictvonline.org/taxonomyHistory.asp?taxnode_id=20171405","ICTVonline=20171405")</f>
        <v>ICTVonline=20171405</v>
      </c>
      <c r="L1198" s="3">
        <v>1197</v>
      </c>
    </row>
    <row r="1199" spans="1:12" x14ac:dyDescent="0.15">
      <c r="A1199" s="1" t="s">
        <v>905</v>
      </c>
      <c r="B1199" s="1" t="s">
        <v>906</v>
      </c>
      <c r="D1199" s="1" t="s">
        <v>1359</v>
      </c>
      <c r="E1199" s="1" t="s">
        <v>1848</v>
      </c>
      <c r="F1199" s="3">
        <v>0</v>
      </c>
      <c r="G1199" s="8" t="s">
        <v>2771</v>
      </c>
      <c r="H1199" s="8" t="s">
        <v>5159</v>
      </c>
      <c r="I1199" s="3">
        <v>25</v>
      </c>
      <c r="J1199" s="3" t="s">
        <v>5539</v>
      </c>
      <c r="K1199" s="17" t="str">
        <f>HYPERLINK("http://ictvonline.org/taxonomyHistory.asp?taxnode_id=20171406","ICTVonline=20171406")</f>
        <v>ICTVonline=20171406</v>
      </c>
      <c r="L1199" s="3">
        <v>1198</v>
      </c>
    </row>
    <row r="1200" spans="1:12" x14ac:dyDescent="0.15">
      <c r="A1200" s="1" t="s">
        <v>905</v>
      </c>
      <c r="B1200" s="1" t="s">
        <v>906</v>
      </c>
      <c r="D1200" s="1" t="s">
        <v>1515</v>
      </c>
      <c r="E1200" s="1" t="s">
        <v>1843</v>
      </c>
      <c r="F1200" s="3">
        <v>1</v>
      </c>
      <c r="G1200" s="8" t="s">
        <v>2771</v>
      </c>
      <c r="H1200" s="8" t="s">
        <v>5164</v>
      </c>
      <c r="I1200" s="3">
        <v>25</v>
      </c>
      <c r="J1200" s="3" t="s">
        <v>5541</v>
      </c>
      <c r="K1200" s="17" t="str">
        <f>HYPERLINK("http://ictvonline.org/taxonomyHistory.asp?taxnode_id=20171408","ICTVonline=20171408")</f>
        <v>ICTVonline=20171408</v>
      </c>
      <c r="L1200" s="3">
        <v>1199</v>
      </c>
    </row>
    <row r="1201" spans="1:12" x14ac:dyDescent="0.15">
      <c r="A1201" s="1" t="s">
        <v>905</v>
      </c>
      <c r="B1201" s="1" t="s">
        <v>906</v>
      </c>
      <c r="D1201" s="1" t="s">
        <v>1515</v>
      </c>
      <c r="E1201" s="1" t="s">
        <v>2148</v>
      </c>
      <c r="F1201" s="3">
        <v>0</v>
      </c>
      <c r="G1201" s="8" t="s">
        <v>2771</v>
      </c>
      <c r="H1201" s="8" t="s">
        <v>5159</v>
      </c>
      <c r="I1201" s="3">
        <v>25</v>
      </c>
      <c r="J1201" s="3" t="s">
        <v>5541</v>
      </c>
      <c r="K1201" s="17" t="str">
        <f>HYPERLINK("http://ictvonline.org/taxonomyHistory.asp?taxnode_id=20171409","ICTVonline=20171409")</f>
        <v>ICTVonline=20171409</v>
      </c>
      <c r="L1201" s="3">
        <v>1200</v>
      </c>
    </row>
    <row r="1202" spans="1:12" x14ac:dyDescent="0.15">
      <c r="A1202" s="1" t="s">
        <v>905</v>
      </c>
      <c r="B1202" s="1" t="s">
        <v>906</v>
      </c>
      <c r="D1202" s="1" t="s">
        <v>1515</v>
      </c>
      <c r="E1202" s="1" t="s">
        <v>1524</v>
      </c>
      <c r="F1202" s="3">
        <v>0</v>
      </c>
      <c r="G1202" s="8" t="s">
        <v>2771</v>
      </c>
      <c r="H1202" s="8" t="s">
        <v>5159</v>
      </c>
      <c r="I1202" s="3">
        <v>25</v>
      </c>
      <c r="J1202" s="3" t="s">
        <v>5541</v>
      </c>
      <c r="K1202" s="17" t="str">
        <f>HYPERLINK("http://ictvonline.org/taxonomyHistory.asp?taxnode_id=20171410","ICTVonline=20171410")</f>
        <v>ICTVonline=20171410</v>
      </c>
      <c r="L1202" s="3">
        <v>1201</v>
      </c>
    </row>
    <row r="1203" spans="1:12" x14ac:dyDescent="0.15">
      <c r="A1203" s="1" t="s">
        <v>905</v>
      </c>
      <c r="B1203" s="1" t="s">
        <v>910</v>
      </c>
      <c r="C1203" s="1" t="s">
        <v>911</v>
      </c>
      <c r="D1203" s="1" t="s">
        <v>912</v>
      </c>
      <c r="E1203" s="1" t="s">
        <v>3576</v>
      </c>
      <c r="F1203" s="3">
        <v>1</v>
      </c>
      <c r="G1203" s="8" t="s">
        <v>2771</v>
      </c>
      <c r="H1203" s="8" t="s">
        <v>5162</v>
      </c>
      <c r="I1203" s="3">
        <v>30</v>
      </c>
      <c r="J1203" s="3" t="s">
        <v>5542</v>
      </c>
      <c r="K1203" s="17" t="str">
        <f>HYPERLINK("http://ictvonline.org/taxonomyHistory.asp?taxnode_id=20171414","ICTVonline=20171414")</f>
        <v>ICTVonline=20171414</v>
      </c>
      <c r="L1203" s="3">
        <v>1202</v>
      </c>
    </row>
    <row r="1204" spans="1:12" x14ac:dyDescent="0.15">
      <c r="A1204" s="1" t="s">
        <v>905</v>
      </c>
      <c r="B1204" s="1" t="s">
        <v>910</v>
      </c>
      <c r="C1204" s="1" t="s">
        <v>911</v>
      </c>
      <c r="D1204" s="1" t="s">
        <v>912</v>
      </c>
      <c r="E1204" s="1" t="s">
        <v>3577</v>
      </c>
      <c r="F1204" s="3">
        <v>0</v>
      </c>
      <c r="G1204" s="8" t="s">
        <v>2771</v>
      </c>
      <c r="H1204" s="8" t="s">
        <v>5162</v>
      </c>
      <c r="I1204" s="3">
        <v>30</v>
      </c>
      <c r="J1204" s="3" t="s">
        <v>5542</v>
      </c>
      <c r="K1204" s="17" t="str">
        <f>HYPERLINK("http://ictvonline.org/taxonomyHistory.asp?taxnode_id=20171415","ICTVonline=20171415")</f>
        <v>ICTVonline=20171415</v>
      </c>
      <c r="L1204" s="3">
        <v>1203</v>
      </c>
    </row>
    <row r="1205" spans="1:12" x14ac:dyDescent="0.15">
      <c r="A1205" s="1" t="s">
        <v>905</v>
      </c>
      <c r="B1205" s="1" t="s">
        <v>910</v>
      </c>
      <c r="C1205" s="1" t="s">
        <v>911</v>
      </c>
      <c r="D1205" s="1" t="s">
        <v>1391</v>
      </c>
      <c r="E1205" s="1" t="s">
        <v>3578</v>
      </c>
      <c r="F1205" s="3">
        <v>0</v>
      </c>
      <c r="G1205" s="8" t="s">
        <v>2771</v>
      </c>
      <c r="H1205" s="8" t="s">
        <v>5162</v>
      </c>
      <c r="I1205" s="3">
        <v>30</v>
      </c>
      <c r="J1205" s="3" t="s">
        <v>5542</v>
      </c>
      <c r="K1205" s="17" t="str">
        <f>HYPERLINK("http://ictvonline.org/taxonomyHistory.asp?taxnode_id=20171417","ICTVonline=20171417")</f>
        <v>ICTVonline=20171417</v>
      </c>
      <c r="L1205" s="3">
        <v>1204</v>
      </c>
    </row>
    <row r="1206" spans="1:12" x14ac:dyDescent="0.15">
      <c r="A1206" s="1" t="s">
        <v>905</v>
      </c>
      <c r="B1206" s="1" t="s">
        <v>910</v>
      </c>
      <c r="C1206" s="1" t="s">
        <v>911</v>
      </c>
      <c r="D1206" s="1" t="s">
        <v>1391</v>
      </c>
      <c r="E1206" s="1" t="s">
        <v>3579</v>
      </c>
      <c r="F1206" s="3">
        <v>0</v>
      </c>
      <c r="G1206" s="8" t="s">
        <v>2771</v>
      </c>
      <c r="H1206" s="8" t="s">
        <v>5162</v>
      </c>
      <c r="I1206" s="3">
        <v>30</v>
      </c>
      <c r="J1206" s="3" t="s">
        <v>5542</v>
      </c>
      <c r="K1206" s="17" t="str">
        <f>HYPERLINK("http://ictvonline.org/taxonomyHistory.asp?taxnode_id=20171418","ICTVonline=20171418")</f>
        <v>ICTVonline=20171418</v>
      </c>
      <c r="L1206" s="3">
        <v>1205</v>
      </c>
    </row>
    <row r="1207" spans="1:12" x14ac:dyDescent="0.15">
      <c r="A1207" s="1" t="s">
        <v>905</v>
      </c>
      <c r="B1207" s="1" t="s">
        <v>910</v>
      </c>
      <c r="C1207" s="1" t="s">
        <v>911</v>
      </c>
      <c r="D1207" s="1" t="s">
        <v>1391</v>
      </c>
      <c r="E1207" s="1" t="s">
        <v>3580</v>
      </c>
      <c r="F1207" s="3">
        <v>1</v>
      </c>
      <c r="G1207" s="8" t="s">
        <v>2771</v>
      </c>
      <c r="H1207" s="8" t="s">
        <v>5162</v>
      </c>
      <c r="I1207" s="3">
        <v>30</v>
      </c>
      <c r="J1207" s="3" t="s">
        <v>5542</v>
      </c>
      <c r="K1207" s="17" t="str">
        <f>HYPERLINK("http://ictvonline.org/taxonomyHistory.asp?taxnode_id=20171419","ICTVonline=20171419")</f>
        <v>ICTVonline=20171419</v>
      </c>
      <c r="L1207" s="3">
        <v>1206</v>
      </c>
    </row>
    <row r="1208" spans="1:12" x14ac:dyDescent="0.15">
      <c r="A1208" s="1" t="s">
        <v>905</v>
      </c>
      <c r="B1208" s="1" t="s">
        <v>910</v>
      </c>
      <c r="C1208" s="1" t="s">
        <v>911</v>
      </c>
      <c r="D1208" s="1" t="s">
        <v>1391</v>
      </c>
      <c r="E1208" s="1" t="s">
        <v>3581</v>
      </c>
      <c r="F1208" s="3">
        <v>0</v>
      </c>
      <c r="G1208" s="8" t="s">
        <v>2771</v>
      </c>
      <c r="H1208" s="8" t="s">
        <v>5162</v>
      </c>
      <c r="I1208" s="3">
        <v>30</v>
      </c>
      <c r="J1208" s="3" t="s">
        <v>5542</v>
      </c>
      <c r="K1208" s="17" t="str">
        <f>HYPERLINK("http://ictvonline.org/taxonomyHistory.asp?taxnode_id=20171420","ICTVonline=20171420")</f>
        <v>ICTVonline=20171420</v>
      </c>
      <c r="L1208" s="3">
        <v>1207</v>
      </c>
    </row>
    <row r="1209" spans="1:12" x14ac:dyDescent="0.15">
      <c r="A1209" s="1" t="s">
        <v>905</v>
      </c>
      <c r="B1209" s="1" t="s">
        <v>910</v>
      </c>
      <c r="C1209" s="1" t="s">
        <v>911</v>
      </c>
      <c r="D1209" s="1" t="s">
        <v>1391</v>
      </c>
      <c r="E1209" s="1" t="s">
        <v>3582</v>
      </c>
      <c r="F1209" s="3">
        <v>0</v>
      </c>
      <c r="G1209" s="8" t="s">
        <v>2771</v>
      </c>
      <c r="H1209" s="8" t="s">
        <v>5162</v>
      </c>
      <c r="I1209" s="3">
        <v>30</v>
      </c>
      <c r="J1209" s="3" t="s">
        <v>5542</v>
      </c>
      <c r="K1209" s="17" t="str">
        <f>HYPERLINK("http://ictvonline.org/taxonomyHistory.asp?taxnode_id=20171421","ICTVonline=20171421")</f>
        <v>ICTVonline=20171421</v>
      </c>
      <c r="L1209" s="3">
        <v>1208</v>
      </c>
    </row>
    <row r="1210" spans="1:12" x14ac:dyDescent="0.15">
      <c r="A1210" s="1" t="s">
        <v>905</v>
      </c>
      <c r="B1210" s="1" t="s">
        <v>910</v>
      </c>
      <c r="C1210" s="1" t="s">
        <v>911</v>
      </c>
      <c r="D1210" s="1" t="s">
        <v>1353</v>
      </c>
      <c r="E1210" s="1" t="s">
        <v>3583</v>
      </c>
      <c r="F1210" s="3">
        <v>1</v>
      </c>
      <c r="G1210" s="8" t="s">
        <v>2771</v>
      </c>
      <c r="H1210" s="8" t="s">
        <v>5162</v>
      </c>
      <c r="I1210" s="3">
        <v>30</v>
      </c>
      <c r="J1210" s="3" t="s">
        <v>5542</v>
      </c>
      <c r="K1210" s="17" t="str">
        <f>HYPERLINK("http://ictvonline.org/taxonomyHistory.asp?taxnode_id=20171423","ICTVonline=20171423")</f>
        <v>ICTVonline=20171423</v>
      </c>
      <c r="L1210" s="3">
        <v>1209</v>
      </c>
    </row>
    <row r="1211" spans="1:12" x14ac:dyDescent="0.15">
      <c r="A1211" s="1" t="s">
        <v>905</v>
      </c>
      <c r="B1211" s="1" t="s">
        <v>910</v>
      </c>
      <c r="C1211" s="1" t="s">
        <v>911</v>
      </c>
      <c r="D1211" s="1" t="s">
        <v>1303</v>
      </c>
      <c r="E1211" s="1" t="s">
        <v>3584</v>
      </c>
      <c r="F1211" s="3">
        <v>0</v>
      </c>
      <c r="G1211" s="8" t="s">
        <v>2771</v>
      </c>
      <c r="H1211" s="8" t="s">
        <v>5162</v>
      </c>
      <c r="I1211" s="3">
        <v>30</v>
      </c>
      <c r="J1211" s="3" t="s">
        <v>5542</v>
      </c>
      <c r="K1211" s="17" t="str">
        <f>HYPERLINK("http://ictvonline.org/taxonomyHistory.asp?taxnode_id=20171425","ICTVonline=20171425")</f>
        <v>ICTVonline=20171425</v>
      </c>
      <c r="L1211" s="3">
        <v>1210</v>
      </c>
    </row>
    <row r="1212" spans="1:12" x14ac:dyDescent="0.15">
      <c r="A1212" s="1" t="s">
        <v>905</v>
      </c>
      <c r="B1212" s="1" t="s">
        <v>910</v>
      </c>
      <c r="C1212" s="1" t="s">
        <v>911</v>
      </c>
      <c r="D1212" s="1" t="s">
        <v>1303</v>
      </c>
      <c r="E1212" s="1" t="s">
        <v>3585</v>
      </c>
      <c r="F1212" s="3">
        <v>0</v>
      </c>
      <c r="G1212" s="8" t="s">
        <v>2771</v>
      </c>
      <c r="H1212" s="8" t="s">
        <v>5162</v>
      </c>
      <c r="I1212" s="3">
        <v>30</v>
      </c>
      <c r="J1212" s="3" t="s">
        <v>5542</v>
      </c>
      <c r="K1212" s="17" t="str">
        <f>HYPERLINK("http://ictvonline.org/taxonomyHistory.asp?taxnode_id=20171426","ICTVonline=20171426")</f>
        <v>ICTVonline=20171426</v>
      </c>
      <c r="L1212" s="3">
        <v>1211</v>
      </c>
    </row>
    <row r="1213" spans="1:12" x14ac:dyDescent="0.15">
      <c r="A1213" s="1" t="s">
        <v>905</v>
      </c>
      <c r="B1213" s="1" t="s">
        <v>910</v>
      </c>
      <c r="C1213" s="1" t="s">
        <v>911</v>
      </c>
      <c r="D1213" s="1" t="s">
        <v>1303</v>
      </c>
      <c r="E1213" s="1" t="s">
        <v>3586</v>
      </c>
      <c r="F1213" s="3">
        <v>0</v>
      </c>
      <c r="G1213" s="8" t="s">
        <v>2771</v>
      </c>
      <c r="H1213" s="8" t="s">
        <v>5162</v>
      </c>
      <c r="I1213" s="3">
        <v>30</v>
      </c>
      <c r="J1213" s="3" t="s">
        <v>5542</v>
      </c>
      <c r="K1213" s="17" t="str">
        <f>HYPERLINK("http://ictvonline.org/taxonomyHistory.asp?taxnode_id=20171427","ICTVonline=20171427")</f>
        <v>ICTVonline=20171427</v>
      </c>
      <c r="L1213" s="3">
        <v>1212</v>
      </c>
    </row>
    <row r="1214" spans="1:12" x14ac:dyDescent="0.15">
      <c r="A1214" s="1" t="s">
        <v>905</v>
      </c>
      <c r="B1214" s="1" t="s">
        <v>910</v>
      </c>
      <c r="C1214" s="1" t="s">
        <v>911</v>
      </c>
      <c r="D1214" s="1" t="s">
        <v>1303</v>
      </c>
      <c r="E1214" s="1" t="s">
        <v>3587</v>
      </c>
      <c r="F1214" s="3">
        <v>1</v>
      </c>
      <c r="G1214" s="8" t="s">
        <v>2771</v>
      </c>
      <c r="H1214" s="8" t="s">
        <v>5162</v>
      </c>
      <c r="I1214" s="3">
        <v>30</v>
      </c>
      <c r="J1214" s="3" t="s">
        <v>5542</v>
      </c>
      <c r="K1214" s="17" t="str">
        <f>HYPERLINK("http://ictvonline.org/taxonomyHistory.asp?taxnode_id=20171428","ICTVonline=20171428")</f>
        <v>ICTVonline=20171428</v>
      </c>
      <c r="L1214" s="3">
        <v>1213</v>
      </c>
    </row>
    <row r="1215" spans="1:12" x14ac:dyDescent="0.15">
      <c r="A1215" s="1" t="s">
        <v>905</v>
      </c>
      <c r="B1215" s="1" t="s">
        <v>910</v>
      </c>
      <c r="C1215" s="1" t="s">
        <v>911</v>
      </c>
      <c r="D1215" s="1" t="s">
        <v>1303</v>
      </c>
      <c r="E1215" s="1" t="s">
        <v>3588</v>
      </c>
      <c r="F1215" s="3">
        <v>0</v>
      </c>
      <c r="G1215" s="8" t="s">
        <v>2771</v>
      </c>
      <c r="H1215" s="8" t="s">
        <v>5162</v>
      </c>
      <c r="I1215" s="3">
        <v>30</v>
      </c>
      <c r="J1215" s="3" t="s">
        <v>5542</v>
      </c>
      <c r="K1215" s="17" t="str">
        <f>HYPERLINK("http://ictvonline.org/taxonomyHistory.asp?taxnode_id=20171429","ICTVonline=20171429")</f>
        <v>ICTVonline=20171429</v>
      </c>
      <c r="L1215" s="3">
        <v>1214</v>
      </c>
    </row>
    <row r="1216" spans="1:12" x14ac:dyDescent="0.15">
      <c r="A1216" s="1" t="s">
        <v>905</v>
      </c>
      <c r="B1216" s="1" t="s">
        <v>910</v>
      </c>
      <c r="C1216" s="1" t="s">
        <v>911</v>
      </c>
      <c r="D1216" s="1" t="s">
        <v>1303</v>
      </c>
      <c r="E1216" s="1" t="s">
        <v>3589</v>
      </c>
      <c r="F1216" s="3">
        <v>0</v>
      </c>
      <c r="G1216" s="8" t="s">
        <v>2771</v>
      </c>
      <c r="H1216" s="8" t="s">
        <v>5162</v>
      </c>
      <c r="I1216" s="3">
        <v>30</v>
      </c>
      <c r="J1216" s="3" t="s">
        <v>5542</v>
      </c>
      <c r="K1216" s="17" t="str">
        <f>HYPERLINK("http://ictvonline.org/taxonomyHistory.asp?taxnode_id=20171430","ICTVonline=20171430")</f>
        <v>ICTVonline=20171430</v>
      </c>
      <c r="L1216" s="3">
        <v>1215</v>
      </c>
    </row>
    <row r="1217" spans="1:12" x14ac:dyDescent="0.15">
      <c r="A1217" s="1" t="s">
        <v>905</v>
      </c>
      <c r="B1217" s="1" t="s">
        <v>910</v>
      </c>
      <c r="C1217" s="1" t="s">
        <v>911</v>
      </c>
      <c r="D1217" s="1" t="s">
        <v>1303</v>
      </c>
      <c r="E1217" s="1" t="s">
        <v>3590</v>
      </c>
      <c r="F1217" s="3">
        <v>0</v>
      </c>
      <c r="G1217" s="8" t="s">
        <v>2771</v>
      </c>
      <c r="H1217" s="8" t="s">
        <v>5162</v>
      </c>
      <c r="I1217" s="3">
        <v>30</v>
      </c>
      <c r="J1217" s="3" t="s">
        <v>5542</v>
      </c>
      <c r="K1217" s="17" t="str">
        <f>HYPERLINK("http://ictvonline.org/taxonomyHistory.asp?taxnode_id=20171431","ICTVonline=20171431")</f>
        <v>ICTVonline=20171431</v>
      </c>
      <c r="L1217" s="3">
        <v>1216</v>
      </c>
    </row>
    <row r="1218" spans="1:12" x14ac:dyDescent="0.15">
      <c r="A1218" s="1" t="s">
        <v>905</v>
      </c>
      <c r="B1218" s="1" t="s">
        <v>910</v>
      </c>
      <c r="C1218" s="1" t="s">
        <v>911</v>
      </c>
      <c r="D1218" s="1" t="s">
        <v>1303</v>
      </c>
      <c r="E1218" s="1" t="s">
        <v>3591</v>
      </c>
      <c r="F1218" s="3">
        <v>0</v>
      </c>
      <c r="G1218" s="8" t="s">
        <v>2771</v>
      </c>
      <c r="H1218" s="8" t="s">
        <v>5162</v>
      </c>
      <c r="I1218" s="3">
        <v>30</v>
      </c>
      <c r="J1218" s="3" t="s">
        <v>5542</v>
      </c>
      <c r="K1218" s="17" t="str">
        <f>HYPERLINK("http://ictvonline.org/taxonomyHistory.asp?taxnode_id=20171432","ICTVonline=20171432")</f>
        <v>ICTVonline=20171432</v>
      </c>
      <c r="L1218" s="3">
        <v>1217</v>
      </c>
    </row>
    <row r="1219" spans="1:12" x14ac:dyDescent="0.15">
      <c r="A1219" s="1" t="s">
        <v>905</v>
      </c>
      <c r="B1219" s="1" t="s">
        <v>910</v>
      </c>
      <c r="C1219" s="1" t="s">
        <v>911</v>
      </c>
      <c r="D1219" s="1" t="s">
        <v>1303</v>
      </c>
      <c r="E1219" s="1" t="s">
        <v>3592</v>
      </c>
      <c r="F1219" s="3">
        <v>0</v>
      </c>
      <c r="G1219" s="8" t="s">
        <v>2771</v>
      </c>
      <c r="H1219" s="8" t="s">
        <v>5162</v>
      </c>
      <c r="I1219" s="3">
        <v>30</v>
      </c>
      <c r="J1219" s="3" t="s">
        <v>5542</v>
      </c>
      <c r="K1219" s="17" t="str">
        <f>HYPERLINK("http://ictvonline.org/taxonomyHistory.asp?taxnode_id=20171433","ICTVonline=20171433")</f>
        <v>ICTVonline=20171433</v>
      </c>
      <c r="L1219" s="3">
        <v>1218</v>
      </c>
    </row>
    <row r="1220" spans="1:12" x14ac:dyDescent="0.15">
      <c r="A1220" s="1" t="s">
        <v>905</v>
      </c>
      <c r="B1220" s="1" t="s">
        <v>910</v>
      </c>
      <c r="C1220" s="1" t="s">
        <v>911</v>
      </c>
      <c r="D1220" s="1" t="s">
        <v>1303</v>
      </c>
      <c r="E1220" s="1" t="s">
        <v>3593</v>
      </c>
      <c r="F1220" s="3">
        <v>0</v>
      </c>
      <c r="G1220" s="8" t="s">
        <v>2771</v>
      </c>
      <c r="H1220" s="8" t="s">
        <v>5159</v>
      </c>
      <c r="I1220" s="3">
        <v>30</v>
      </c>
      <c r="J1220" s="3" t="s">
        <v>5543</v>
      </c>
      <c r="K1220" s="17" t="str">
        <f>HYPERLINK("http://ictvonline.org/taxonomyHistory.asp?taxnode_id=20171434","ICTVonline=20171434")</f>
        <v>ICTVonline=20171434</v>
      </c>
      <c r="L1220" s="3">
        <v>1219</v>
      </c>
    </row>
    <row r="1221" spans="1:12" x14ac:dyDescent="0.15">
      <c r="A1221" s="1" t="s">
        <v>905</v>
      </c>
      <c r="B1221" s="1" t="s">
        <v>910</v>
      </c>
      <c r="C1221" s="1" t="s">
        <v>911</v>
      </c>
      <c r="D1221" s="1" t="s">
        <v>1303</v>
      </c>
      <c r="E1221" s="1" t="s">
        <v>3594</v>
      </c>
      <c r="F1221" s="3">
        <v>0</v>
      </c>
      <c r="G1221" s="8" t="s">
        <v>2771</v>
      </c>
      <c r="H1221" s="8" t="s">
        <v>5162</v>
      </c>
      <c r="I1221" s="3">
        <v>30</v>
      </c>
      <c r="J1221" s="3" t="s">
        <v>5542</v>
      </c>
      <c r="K1221" s="17" t="str">
        <f>HYPERLINK("http://ictvonline.org/taxonomyHistory.asp?taxnode_id=20171435","ICTVonline=20171435")</f>
        <v>ICTVonline=20171435</v>
      </c>
      <c r="L1221" s="3">
        <v>1220</v>
      </c>
    </row>
    <row r="1222" spans="1:12" x14ac:dyDescent="0.15">
      <c r="A1222" s="1" t="s">
        <v>905</v>
      </c>
      <c r="B1222" s="1" t="s">
        <v>910</v>
      </c>
      <c r="C1222" s="1" t="s">
        <v>911</v>
      </c>
      <c r="D1222" s="1" t="s">
        <v>1303</v>
      </c>
      <c r="E1222" s="1" t="s">
        <v>3595</v>
      </c>
      <c r="F1222" s="3">
        <v>0</v>
      </c>
      <c r="G1222" s="8" t="s">
        <v>2771</v>
      </c>
      <c r="H1222" s="8" t="s">
        <v>5162</v>
      </c>
      <c r="I1222" s="3">
        <v>30</v>
      </c>
      <c r="J1222" s="3" t="s">
        <v>5542</v>
      </c>
      <c r="K1222" s="17" t="str">
        <f>HYPERLINK("http://ictvonline.org/taxonomyHistory.asp?taxnode_id=20171436","ICTVonline=20171436")</f>
        <v>ICTVonline=20171436</v>
      </c>
      <c r="L1222" s="3">
        <v>1221</v>
      </c>
    </row>
    <row r="1223" spans="1:12" x14ac:dyDescent="0.15">
      <c r="A1223" s="1" t="s">
        <v>905</v>
      </c>
      <c r="B1223" s="1" t="s">
        <v>910</v>
      </c>
      <c r="C1223" s="1" t="s">
        <v>911</v>
      </c>
      <c r="D1223" s="1" t="s">
        <v>908</v>
      </c>
      <c r="E1223" s="1" t="s">
        <v>3596</v>
      </c>
      <c r="F1223" s="3">
        <v>0</v>
      </c>
      <c r="G1223" s="8" t="s">
        <v>2771</v>
      </c>
      <c r="H1223" s="8" t="s">
        <v>5162</v>
      </c>
      <c r="I1223" s="3">
        <v>30</v>
      </c>
      <c r="J1223" s="3" t="s">
        <v>5542</v>
      </c>
      <c r="K1223" s="17" t="str">
        <f>HYPERLINK("http://ictvonline.org/taxonomyHistory.asp?taxnode_id=20171438","ICTVonline=20171438")</f>
        <v>ICTVonline=20171438</v>
      </c>
      <c r="L1223" s="3">
        <v>1222</v>
      </c>
    </row>
    <row r="1224" spans="1:12" x14ac:dyDescent="0.15">
      <c r="A1224" s="1" t="s">
        <v>905</v>
      </c>
      <c r="B1224" s="1" t="s">
        <v>910</v>
      </c>
      <c r="C1224" s="1" t="s">
        <v>911</v>
      </c>
      <c r="D1224" s="1" t="s">
        <v>1304</v>
      </c>
      <c r="E1224" s="1" t="s">
        <v>3597</v>
      </c>
      <c r="F1224" s="3">
        <v>0</v>
      </c>
      <c r="G1224" s="8" t="s">
        <v>2771</v>
      </c>
      <c r="H1224" s="8" t="s">
        <v>5162</v>
      </c>
      <c r="I1224" s="3">
        <v>30</v>
      </c>
      <c r="J1224" s="3" t="s">
        <v>5542</v>
      </c>
      <c r="K1224" s="17" t="str">
        <f>HYPERLINK("http://ictvonline.org/taxonomyHistory.asp?taxnode_id=20171440","ICTVonline=20171440")</f>
        <v>ICTVonline=20171440</v>
      </c>
      <c r="L1224" s="3">
        <v>1223</v>
      </c>
    </row>
    <row r="1225" spans="1:12" x14ac:dyDescent="0.15">
      <c r="A1225" s="1" t="s">
        <v>905</v>
      </c>
      <c r="B1225" s="1" t="s">
        <v>910</v>
      </c>
      <c r="C1225" s="1" t="s">
        <v>911</v>
      </c>
      <c r="D1225" s="1" t="s">
        <v>1304</v>
      </c>
      <c r="E1225" s="1" t="s">
        <v>3598</v>
      </c>
      <c r="F1225" s="3">
        <v>0</v>
      </c>
      <c r="G1225" s="8" t="s">
        <v>2771</v>
      </c>
      <c r="H1225" s="8" t="s">
        <v>5162</v>
      </c>
      <c r="I1225" s="3">
        <v>30</v>
      </c>
      <c r="J1225" s="3" t="s">
        <v>5542</v>
      </c>
      <c r="K1225" s="17" t="str">
        <f>HYPERLINK("http://ictvonline.org/taxonomyHistory.asp?taxnode_id=20171441","ICTVonline=20171441")</f>
        <v>ICTVonline=20171441</v>
      </c>
      <c r="L1225" s="3">
        <v>1224</v>
      </c>
    </row>
    <row r="1226" spans="1:12" x14ac:dyDescent="0.15">
      <c r="A1226" s="1" t="s">
        <v>905</v>
      </c>
      <c r="B1226" s="1" t="s">
        <v>910</v>
      </c>
      <c r="C1226" s="1" t="s">
        <v>911</v>
      </c>
      <c r="D1226" s="1" t="s">
        <v>1304</v>
      </c>
      <c r="E1226" s="1" t="s">
        <v>3599</v>
      </c>
      <c r="F1226" s="3">
        <v>0</v>
      </c>
      <c r="G1226" s="8" t="s">
        <v>2771</v>
      </c>
      <c r="H1226" s="8" t="s">
        <v>5162</v>
      </c>
      <c r="I1226" s="3">
        <v>30</v>
      </c>
      <c r="J1226" s="3" t="s">
        <v>5542</v>
      </c>
      <c r="K1226" s="17" t="str">
        <f>HYPERLINK("http://ictvonline.org/taxonomyHistory.asp?taxnode_id=20171442","ICTVonline=20171442")</f>
        <v>ICTVonline=20171442</v>
      </c>
      <c r="L1226" s="3">
        <v>1225</v>
      </c>
    </row>
    <row r="1227" spans="1:12" x14ac:dyDescent="0.15">
      <c r="A1227" s="1" t="s">
        <v>905</v>
      </c>
      <c r="B1227" s="1" t="s">
        <v>910</v>
      </c>
      <c r="C1227" s="1" t="s">
        <v>911</v>
      </c>
      <c r="D1227" s="1" t="s">
        <v>1304</v>
      </c>
      <c r="E1227" s="1" t="s">
        <v>3600</v>
      </c>
      <c r="F1227" s="3">
        <v>0</v>
      </c>
      <c r="G1227" s="8" t="s">
        <v>2771</v>
      </c>
      <c r="H1227" s="8" t="s">
        <v>5162</v>
      </c>
      <c r="I1227" s="3">
        <v>30</v>
      </c>
      <c r="J1227" s="3" t="s">
        <v>5542</v>
      </c>
      <c r="K1227" s="17" t="str">
        <f>HYPERLINK("http://ictvonline.org/taxonomyHistory.asp?taxnode_id=20171443","ICTVonline=20171443")</f>
        <v>ICTVonline=20171443</v>
      </c>
      <c r="L1227" s="3">
        <v>1226</v>
      </c>
    </row>
    <row r="1228" spans="1:12" x14ac:dyDescent="0.15">
      <c r="A1228" s="1" t="s">
        <v>905</v>
      </c>
      <c r="B1228" s="1" t="s">
        <v>910</v>
      </c>
      <c r="C1228" s="1" t="s">
        <v>911</v>
      </c>
      <c r="D1228" s="1" t="s">
        <v>1304</v>
      </c>
      <c r="E1228" s="1" t="s">
        <v>3601</v>
      </c>
      <c r="F1228" s="3">
        <v>0</v>
      </c>
      <c r="G1228" s="8" t="s">
        <v>2771</v>
      </c>
      <c r="H1228" s="8" t="s">
        <v>5162</v>
      </c>
      <c r="I1228" s="3">
        <v>30</v>
      </c>
      <c r="J1228" s="3" t="s">
        <v>5542</v>
      </c>
      <c r="K1228" s="17" t="str">
        <f>HYPERLINK("http://ictvonline.org/taxonomyHistory.asp?taxnode_id=20171444","ICTVonline=20171444")</f>
        <v>ICTVonline=20171444</v>
      </c>
      <c r="L1228" s="3">
        <v>1227</v>
      </c>
    </row>
    <row r="1229" spans="1:12" x14ac:dyDescent="0.15">
      <c r="A1229" s="1" t="s">
        <v>905</v>
      </c>
      <c r="B1229" s="1" t="s">
        <v>910</v>
      </c>
      <c r="C1229" s="1" t="s">
        <v>911</v>
      </c>
      <c r="D1229" s="1" t="s">
        <v>1304</v>
      </c>
      <c r="E1229" s="1" t="s">
        <v>3602</v>
      </c>
      <c r="F1229" s="3">
        <v>0</v>
      </c>
      <c r="G1229" s="8" t="s">
        <v>2771</v>
      </c>
      <c r="H1229" s="8" t="s">
        <v>5162</v>
      </c>
      <c r="I1229" s="3">
        <v>30</v>
      </c>
      <c r="J1229" s="3" t="s">
        <v>5542</v>
      </c>
      <c r="K1229" s="17" t="str">
        <f>HYPERLINK("http://ictvonline.org/taxonomyHistory.asp?taxnode_id=20171445","ICTVonline=20171445")</f>
        <v>ICTVonline=20171445</v>
      </c>
      <c r="L1229" s="3">
        <v>1228</v>
      </c>
    </row>
    <row r="1230" spans="1:12" x14ac:dyDescent="0.15">
      <c r="A1230" s="1" t="s">
        <v>905</v>
      </c>
      <c r="B1230" s="1" t="s">
        <v>910</v>
      </c>
      <c r="C1230" s="1" t="s">
        <v>911</v>
      </c>
      <c r="D1230" s="1" t="s">
        <v>1304</v>
      </c>
      <c r="E1230" s="1" t="s">
        <v>3603</v>
      </c>
      <c r="F1230" s="3">
        <v>0</v>
      </c>
      <c r="G1230" s="8" t="s">
        <v>2771</v>
      </c>
      <c r="H1230" s="8" t="s">
        <v>5162</v>
      </c>
      <c r="I1230" s="3">
        <v>30</v>
      </c>
      <c r="J1230" s="3" t="s">
        <v>5542</v>
      </c>
      <c r="K1230" s="17" t="str">
        <f>HYPERLINK("http://ictvonline.org/taxonomyHistory.asp?taxnode_id=20171446","ICTVonline=20171446")</f>
        <v>ICTVonline=20171446</v>
      </c>
      <c r="L1230" s="3">
        <v>1229</v>
      </c>
    </row>
    <row r="1231" spans="1:12" x14ac:dyDescent="0.15">
      <c r="A1231" s="1" t="s">
        <v>905</v>
      </c>
      <c r="B1231" s="1" t="s">
        <v>910</v>
      </c>
      <c r="C1231" s="1" t="s">
        <v>911</v>
      </c>
      <c r="D1231" s="1" t="s">
        <v>1304</v>
      </c>
      <c r="E1231" s="1" t="s">
        <v>3604</v>
      </c>
      <c r="F1231" s="3">
        <v>0</v>
      </c>
      <c r="G1231" s="8" t="s">
        <v>2771</v>
      </c>
      <c r="H1231" s="8" t="s">
        <v>5162</v>
      </c>
      <c r="I1231" s="3">
        <v>30</v>
      </c>
      <c r="J1231" s="3" t="s">
        <v>5542</v>
      </c>
      <c r="K1231" s="17" t="str">
        <f>HYPERLINK("http://ictvonline.org/taxonomyHistory.asp?taxnode_id=20171447","ICTVonline=20171447")</f>
        <v>ICTVonline=20171447</v>
      </c>
      <c r="L1231" s="3">
        <v>1230</v>
      </c>
    </row>
    <row r="1232" spans="1:12" x14ac:dyDescent="0.15">
      <c r="A1232" s="1" t="s">
        <v>905</v>
      </c>
      <c r="B1232" s="1" t="s">
        <v>910</v>
      </c>
      <c r="C1232" s="1" t="s">
        <v>911</v>
      </c>
      <c r="D1232" s="1" t="s">
        <v>1304</v>
      </c>
      <c r="E1232" s="1" t="s">
        <v>3605</v>
      </c>
      <c r="F1232" s="3">
        <v>0</v>
      </c>
      <c r="G1232" s="8" t="s">
        <v>2771</v>
      </c>
      <c r="H1232" s="8" t="s">
        <v>5162</v>
      </c>
      <c r="I1232" s="3">
        <v>30</v>
      </c>
      <c r="J1232" s="3" t="s">
        <v>5542</v>
      </c>
      <c r="K1232" s="17" t="str">
        <f>HYPERLINK("http://ictvonline.org/taxonomyHistory.asp?taxnode_id=20171448","ICTVonline=20171448")</f>
        <v>ICTVonline=20171448</v>
      </c>
      <c r="L1232" s="3">
        <v>1231</v>
      </c>
    </row>
    <row r="1233" spans="1:12" x14ac:dyDescent="0.15">
      <c r="A1233" s="1" t="s">
        <v>905</v>
      </c>
      <c r="B1233" s="1" t="s">
        <v>910</v>
      </c>
      <c r="C1233" s="1" t="s">
        <v>911</v>
      </c>
      <c r="D1233" s="1" t="s">
        <v>1304</v>
      </c>
      <c r="E1233" s="1" t="s">
        <v>3606</v>
      </c>
      <c r="F1233" s="3">
        <v>0</v>
      </c>
      <c r="G1233" s="8" t="s">
        <v>2771</v>
      </c>
      <c r="H1233" s="8" t="s">
        <v>5162</v>
      </c>
      <c r="I1233" s="3">
        <v>30</v>
      </c>
      <c r="J1233" s="3" t="s">
        <v>5542</v>
      </c>
      <c r="K1233" s="17" t="str">
        <f>HYPERLINK("http://ictvonline.org/taxonomyHistory.asp?taxnode_id=20171449","ICTVonline=20171449")</f>
        <v>ICTVonline=20171449</v>
      </c>
      <c r="L1233" s="3">
        <v>1232</v>
      </c>
    </row>
    <row r="1234" spans="1:12" x14ac:dyDescent="0.15">
      <c r="A1234" s="1" t="s">
        <v>905</v>
      </c>
      <c r="B1234" s="1" t="s">
        <v>910</v>
      </c>
      <c r="C1234" s="1" t="s">
        <v>911</v>
      </c>
      <c r="D1234" s="1" t="s">
        <v>1304</v>
      </c>
      <c r="E1234" s="1" t="s">
        <v>3607</v>
      </c>
      <c r="F1234" s="3">
        <v>0</v>
      </c>
      <c r="G1234" s="8" t="s">
        <v>2771</v>
      </c>
      <c r="H1234" s="8" t="s">
        <v>5162</v>
      </c>
      <c r="I1234" s="3">
        <v>30</v>
      </c>
      <c r="J1234" s="3" t="s">
        <v>5542</v>
      </c>
      <c r="K1234" s="17" t="str">
        <f>HYPERLINK("http://ictvonline.org/taxonomyHistory.asp?taxnode_id=20171450","ICTVonline=20171450")</f>
        <v>ICTVonline=20171450</v>
      </c>
      <c r="L1234" s="3">
        <v>1233</v>
      </c>
    </row>
    <row r="1235" spans="1:12" x14ac:dyDescent="0.15">
      <c r="A1235" s="1" t="s">
        <v>905</v>
      </c>
      <c r="B1235" s="1" t="s">
        <v>910</v>
      </c>
      <c r="C1235" s="1" t="s">
        <v>911</v>
      </c>
      <c r="D1235" s="1" t="s">
        <v>1304</v>
      </c>
      <c r="E1235" s="1" t="s">
        <v>3608</v>
      </c>
      <c r="F1235" s="3">
        <v>0</v>
      </c>
      <c r="G1235" s="8" t="s">
        <v>2771</v>
      </c>
      <c r="H1235" s="8" t="s">
        <v>5162</v>
      </c>
      <c r="I1235" s="3">
        <v>30</v>
      </c>
      <c r="J1235" s="3" t="s">
        <v>5542</v>
      </c>
      <c r="K1235" s="17" t="str">
        <f>HYPERLINK("http://ictvonline.org/taxonomyHistory.asp?taxnode_id=20171451","ICTVonline=20171451")</f>
        <v>ICTVonline=20171451</v>
      </c>
      <c r="L1235" s="3">
        <v>1234</v>
      </c>
    </row>
    <row r="1236" spans="1:12" x14ac:dyDescent="0.15">
      <c r="A1236" s="1" t="s">
        <v>905</v>
      </c>
      <c r="B1236" s="1" t="s">
        <v>910</v>
      </c>
      <c r="C1236" s="1" t="s">
        <v>911</v>
      </c>
      <c r="D1236" s="1" t="s">
        <v>1304</v>
      </c>
      <c r="E1236" s="1" t="s">
        <v>3609</v>
      </c>
      <c r="F1236" s="3">
        <v>0</v>
      </c>
      <c r="G1236" s="8" t="s">
        <v>2771</v>
      </c>
      <c r="H1236" s="8" t="s">
        <v>5162</v>
      </c>
      <c r="I1236" s="3">
        <v>30</v>
      </c>
      <c r="J1236" s="3" t="s">
        <v>5542</v>
      </c>
      <c r="K1236" s="17" t="str">
        <f>HYPERLINK("http://ictvonline.org/taxonomyHistory.asp?taxnode_id=20171452","ICTVonline=20171452")</f>
        <v>ICTVonline=20171452</v>
      </c>
      <c r="L1236" s="3">
        <v>1235</v>
      </c>
    </row>
    <row r="1237" spans="1:12" x14ac:dyDescent="0.15">
      <c r="A1237" s="1" t="s">
        <v>905</v>
      </c>
      <c r="B1237" s="1" t="s">
        <v>910</v>
      </c>
      <c r="C1237" s="1" t="s">
        <v>911</v>
      </c>
      <c r="D1237" s="1" t="s">
        <v>1304</v>
      </c>
      <c r="E1237" s="1" t="s">
        <v>3610</v>
      </c>
      <c r="F1237" s="3">
        <v>0</v>
      </c>
      <c r="G1237" s="8" t="s">
        <v>2771</v>
      </c>
      <c r="H1237" s="8" t="s">
        <v>5162</v>
      </c>
      <c r="I1237" s="3">
        <v>30</v>
      </c>
      <c r="J1237" s="3" t="s">
        <v>5542</v>
      </c>
      <c r="K1237" s="17" t="str">
        <f>HYPERLINK("http://ictvonline.org/taxonomyHistory.asp?taxnode_id=20171453","ICTVonline=20171453")</f>
        <v>ICTVonline=20171453</v>
      </c>
      <c r="L1237" s="3">
        <v>1236</v>
      </c>
    </row>
    <row r="1238" spans="1:12" x14ac:dyDescent="0.15">
      <c r="A1238" s="1" t="s">
        <v>905</v>
      </c>
      <c r="B1238" s="1" t="s">
        <v>910</v>
      </c>
      <c r="C1238" s="1" t="s">
        <v>911</v>
      </c>
      <c r="D1238" s="1" t="s">
        <v>1304</v>
      </c>
      <c r="E1238" s="1" t="s">
        <v>3611</v>
      </c>
      <c r="F1238" s="3">
        <v>1</v>
      </c>
      <c r="G1238" s="8" t="s">
        <v>2771</v>
      </c>
      <c r="H1238" s="8" t="s">
        <v>5162</v>
      </c>
      <c r="I1238" s="3">
        <v>30</v>
      </c>
      <c r="J1238" s="3" t="s">
        <v>5542</v>
      </c>
      <c r="K1238" s="17" t="str">
        <f>HYPERLINK("http://ictvonline.org/taxonomyHistory.asp?taxnode_id=20171454","ICTVonline=20171454")</f>
        <v>ICTVonline=20171454</v>
      </c>
      <c r="L1238" s="3">
        <v>1237</v>
      </c>
    </row>
    <row r="1239" spans="1:12" x14ac:dyDescent="0.15">
      <c r="A1239" s="1" t="s">
        <v>905</v>
      </c>
      <c r="B1239" s="1" t="s">
        <v>910</v>
      </c>
      <c r="C1239" s="1" t="s">
        <v>911</v>
      </c>
      <c r="D1239" s="1" t="s">
        <v>1304</v>
      </c>
      <c r="E1239" s="1" t="s">
        <v>3612</v>
      </c>
      <c r="F1239" s="3">
        <v>0</v>
      </c>
      <c r="G1239" s="8" t="s">
        <v>2771</v>
      </c>
      <c r="H1239" s="8" t="s">
        <v>5162</v>
      </c>
      <c r="I1239" s="3">
        <v>30</v>
      </c>
      <c r="J1239" s="3" t="s">
        <v>5542</v>
      </c>
      <c r="K1239" s="17" t="str">
        <f>HYPERLINK("http://ictvonline.org/taxonomyHistory.asp?taxnode_id=20171455","ICTVonline=20171455")</f>
        <v>ICTVonline=20171455</v>
      </c>
      <c r="L1239" s="3">
        <v>1238</v>
      </c>
    </row>
    <row r="1240" spans="1:12" x14ac:dyDescent="0.15">
      <c r="A1240" s="1" t="s">
        <v>905</v>
      </c>
      <c r="B1240" s="1" t="s">
        <v>910</v>
      </c>
      <c r="C1240" s="1" t="s">
        <v>911</v>
      </c>
      <c r="D1240" s="1" t="s">
        <v>1304</v>
      </c>
      <c r="E1240" s="1" t="s">
        <v>3613</v>
      </c>
      <c r="F1240" s="3">
        <v>0</v>
      </c>
      <c r="G1240" s="8" t="s">
        <v>2771</v>
      </c>
      <c r="H1240" s="8" t="s">
        <v>5162</v>
      </c>
      <c r="I1240" s="3">
        <v>30</v>
      </c>
      <c r="J1240" s="3" t="s">
        <v>5542</v>
      </c>
      <c r="K1240" s="17" t="str">
        <f>HYPERLINK("http://ictvonline.org/taxonomyHistory.asp?taxnode_id=20171456","ICTVonline=20171456")</f>
        <v>ICTVonline=20171456</v>
      </c>
      <c r="L1240" s="3">
        <v>1239</v>
      </c>
    </row>
    <row r="1241" spans="1:12" x14ac:dyDescent="0.15">
      <c r="A1241" s="1" t="s">
        <v>905</v>
      </c>
      <c r="B1241" s="1" t="s">
        <v>910</v>
      </c>
      <c r="C1241" s="1" t="s">
        <v>1406</v>
      </c>
      <c r="D1241" s="1" t="s">
        <v>687</v>
      </c>
      <c r="E1241" s="1" t="s">
        <v>3614</v>
      </c>
      <c r="F1241" s="3">
        <v>0</v>
      </c>
      <c r="G1241" s="8" t="s">
        <v>2771</v>
      </c>
      <c r="H1241" s="8" t="s">
        <v>5162</v>
      </c>
      <c r="I1241" s="3">
        <v>30</v>
      </c>
      <c r="J1241" s="3" t="s">
        <v>5542</v>
      </c>
      <c r="K1241" s="17" t="str">
        <f>HYPERLINK("http://ictvonline.org/taxonomyHistory.asp?taxnode_id=20171459","ICTVonline=20171459")</f>
        <v>ICTVonline=20171459</v>
      </c>
      <c r="L1241" s="3">
        <v>1240</v>
      </c>
    </row>
    <row r="1242" spans="1:12" x14ac:dyDescent="0.15">
      <c r="A1242" s="1" t="s">
        <v>905</v>
      </c>
      <c r="B1242" s="1" t="s">
        <v>910</v>
      </c>
      <c r="C1242" s="1" t="s">
        <v>1406</v>
      </c>
      <c r="D1242" s="1" t="s">
        <v>687</v>
      </c>
      <c r="E1242" s="1" t="s">
        <v>3615</v>
      </c>
      <c r="F1242" s="3">
        <v>0</v>
      </c>
      <c r="G1242" s="8" t="s">
        <v>2771</v>
      </c>
      <c r="H1242" s="8" t="s">
        <v>5162</v>
      </c>
      <c r="I1242" s="3">
        <v>30</v>
      </c>
      <c r="J1242" s="3" t="s">
        <v>5542</v>
      </c>
      <c r="K1242" s="17" t="str">
        <f>HYPERLINK("http://ictvonline.org/taxonomyHistory.asp?taxnode_id=20171460","ICTVonline=20171460")</f>
        <v>ICTVonline=20171460</v>
      </c>
      <c r="L1242" s="3">
        <v>1241</v>
      </c>
    </row>
    <row r="1243" spans="1:12" x14ac:dyDescent="0.15">
      <c r="A1243" s="1" t="s">
        <v>905</v>
      </c>
      <c r="B1243" s="1" t="s">
        <v>910</v>
      </c>
      <c r="C1243" s="1" t="s">
        <v>1406</v>
      </c>
      <c r="D1243" s="1" t="s">
        <v>687</v>
      </c>
      <c r="E1243" s="1" t="s">
        <v>3616</v>
      </c>
      <c r="F1243" s="3">
        <v>0</v>
      </c>
      <c r="G1243" s="8" t="s">
        <v>2771</v>
      </c>
      <c r="H1243" s="8" t="s">
        <v>5162</v>
      </c>
      <c r="I1243" s="3">
        <v>30</v>
      </c>
      <c r="J1243" s="3" t="s">
        <v>5542</v>
      </c>
      <c r="K1243" s="17" t="str">
        <f>HYPERLINK("http://ictvonline.org/taxonomyHistory.asp?taxnode_id=20171461","ICTVonline=20171461")</f>
        <v>ICTVonline=20171461</v>
      </c>
      <c r="L1243" s="3">
        <v>1242</v>
      </c>
    </row>
    <row r="1244" spans="1:12" x14ac:dyDescent="0.15">
      <c r="A1244" s="1" t="s">
        <v>905</v>
      </c>
      <c r="B1244" s="1" t="s">
        <v>910</v>
      </c>
      <c r="C1244" s="1" t="s">
        <v>1406</v>
      </c>
      <c r="D1244" s="1" t="s">
        <v>687</v>
      </c>
      <c r="E1244" s="4" t="s">
        <v>3617</v>
      </c>
      <c r="F1244" s="3">
        <v>1</v>
      </c>
      <c r="G1244" s="9" t="s">
        <v>2771</v>
      </c>
      <c r="H1244" s="9" t="s">
        <v>5162</v>
      </c>
      <c r="I1244" s="3">
        <v>30</v>
      </c>
      <c r="J1244" s="3" t="s">
        <v>5542</v>
      </c>
      <c r="K1244" s="17" t="str">
        <f>HYPERLINK("http://ictvonline.org/taxonomyHistory.asp?taxnode_id=20171462","ICTVonline=20171462")</f>
        <v>ICTVonline=20171462</v>
      </c>
      <c r="L1244" s="3">
        <v>1243</v>
      </c>
    </row>
    <row r="1245" spans="1:12" x14ac:dyDescent="0.15">
      <c r="A1245" s="1" t="s">
        <v>905</v>
      </c>
      <c r="B1245" s="1" t="s">
        <v>910</v>
      </c>
      <c r="C1245" s="1" t="s">
        <v>1406</v>
      </c>
      <c r="D1245" s="1" t="s">
        <v>687</v>
      </c>
      <c r="E1245" s="1" t="s">
        <v>3618</v>
      </c>
      <c r="F1245" s="3">
        <v>0</v>
      </c>
      <c r="G1245" s="8" t="s">
        <v>2771</v>
      </c>
      <c r="H1245" s="8" t="s">
        <v>5162</v>
      </c>
      <c r="I1245" s="3">
        <v>30</v>
      </c>
      <c r="J1245" s="3" t="s">
        <v>5542</v>
      </c>
      <c r="K1245" s="17" t="str">
        <f>HYPERLINK("http://ictvonline.org/taxonomyHistory.asp?taxnode_id=20171463","ICTVonline=20171463")</f>
        <v>ICTVonline=20171463</v>
      </c>
      <c r="L1245" s="3">
        <v>1244</v>
      </c>
    </row>
    <row r="1246" spans="1:12" x14ac:dyDescent="0.15">
      <c r="A1246" s="1" t="s">
        <v>905</v>
      </c>
      <c r="B1246" s="1" t="s">
        <v>910</v>
      </c>
      <c r="C1246" s="1" t="s">
        <v>1406</v>
      </c>
      <c r="D1246" s="1" t="s">
        <v>687</v>
      </c>
      <c r="E1246" s="1" t="s">
        <v>3619</v>
      </c>
      <c r="F1246" s="3">
        <v>0</v>
      </c>
      <c r="G1246" s="8" t="s">
        <v>2771</v>
      </c>
      <c r="H1246" s="8" t="s">
        <v>5162</v>
      </c>
      <c r="I1246" s="3">
        <v>30</v>
      </c>
      <c r="J1246" s="3" t="s">
        <v>5542</v>
      </c>
      <c r="K1246" s="17" t="str">
        <f>HYPERLINK("http://ictvonline.org/taxonomyHistory.asp?taxnode_id=20171464","ICTVonline=20171464")</f>
        <v>ICTVonline=20171464</v>
      </c>
      <c r="L1246" s="3">
        <v>1245</v>
      </c>
    </row>
    <row r="1247" spans="1:12" x14ac:dyDescent="0.15">
      <c r="A1247" s="1" t="s">
        <v>905</v>
      </c>
      <c r="B1247" s="1" t="s">
        <v>910</v>
      </c>
      <c r="C1247" s="1" t="s">
        <v>1406</v>
      </c>
      <c r="D1247" s="1" t="s">
        <v>687</v>
      </c>
      <c r="E1247" s="1" t="s">
        <v>3620</v>
      </c>
      <c r="F1247" s="3">
        <v>0</v>
      </c>
      <c r="G1247" s="8" t="s">
        <v>2771</v>
      </c>
      <c r="H1247" s="8" t="s">
        <v>5162</v>
      </c>
      <c r="I1247" s="3">
        <v>30</v>
      </c>
      <c r="J1247" s="3" t="s">
        <v>5542</v>
      </c>
      <c r="K1247" s="17" t="str">
        <f>HYPERLINK("http://ictvonline.org/taxonomyHistory.asp?taxnode_id=20171465","ICTVonline=20171465")</f>
        <v>ICTVonline=20171465</v>
      </c>
      <c r="L1247" s="3">
        <v>1246</v>
      </c>
    </row>
    <row r="1248" spans="1:12" x14ac:dyDescent="0.15">
      <c r="A1248" s="1" t="s">
        <v>905</v>
      </c>
      <c r="B1248" s="1" t="s">
        <v>910</v>
      </c>
      <c r="C1248" s="1" t="s">
        <v>1406</v>
      </c>
      <c r="D1248" s="1" t="s">
        <v>687</v>
      </c>
      <c r="E1248" s="1" t="s">
        <v>3621</v>
      </c>
      <c r="F1248" s="3">
        <v>0</v>
      </c>
      <c r="G1248" s="8" t="s">
        <v>2771</v>
      </c>
      <c r="H1248" s="8" t="s">
        <v>5162</v>
      </c>
      <c r="I1248" s="3">
        <v>30</v>
      </c>
      <c r="J1248" s="3" t="s">
        <v>5542</v>
      </c>
      <c r="K1248" s="17" t="str">
        <f>HYPERLINK("http://ictvonline.org/taxonomyHistory.asp?taxnode_id=20171466","ICTVonline=20171466")</f>
        <v>ICTVonline=20171466</v>
      </c>
      <c r="L1248" s="3">
        <v>1247</v>
      </c>
    </row>
    <row r="1249" spans="1:12" x14ac:dyDescent="0.15">
      <c r="A1249" s="1" t="s">
        <v>905</v>
      </c>
      <c r="B1249" s="1" t="s">
        <v>910</v>
      </c>
      <c r="C1249" s="1" t="s">
        <v>1406</v>
      </c>
      <c r="D1249" s="1" t="s">
        <v>688</v>
      </c>
      <c r="E1249" s="1" t="s">
        <v>3622</v>
      </c>
      <c r="F1249" s="3">
        <v>1</v>
      </c>
      <c r="G1249" s="8" t="s">
        <v>2771</v>
      </c>
      <c r="H1249" s="8" t="s">
        <v>5162</v>
      </c>
      <c r="I1249" s="3">
        <v>30</v>
      </c>
      <c r="J1249" s="3" t="s">
        <v>5542</v>
      </c>
      <c r="K1249" s="17" t="str">
        <f>HYPERLINK("http://ictvonline.org/taxonomyHistory.asp?taxnode_id=20171468","ICTVonline=20171468")</f>
        <v>ICTVonline=20171468</v>
      </c>
      <c r="L1249" s="3">
        <v>1248</v>
      </c>
    </row>
    <row r="1250" spans="1:12" x14ac:dyDescent="0.15">
      <c r="A1250" s="1" t="s">
        <v>905</v>
      </c>
      <c r="B1250" s="1" t="s">
        <v>910</v>
      </c>
      <c r="C1250" s="1" t="s">
        <v>1406</v>
      </c>
      <c r="D1250" s="1" t="s">
        <v>688</v>
      </c>
      <c r="E1250" s="1" t="s">
        <v>3623</v>
      </c>
      <c r="F1250" s="3">
        <v>0</v>
      </c>
      <c r="G1250" s="8" t="s">
        <v>2771</v>
      </c>
      <c r="H1250" s="8" t="s">
        <v>5162</v>
      </c>
      <c r="I1250" s="3">
        <v>30</v>
      </c>
      <c r="J1250" s="3" t="s">
        <v>5542</v>
      </c>
      <c r="K1250" s="17" t="str">
        <f>HYPERLINK("http://ictvonline.org/taxonomyHistory.asp?taxnode_id=20171469","ICTVonline=20171469")</f>
        <v>ICTVonline=20171469</v>
      </c>
      <c r="L1250" s="3">
        <v>1249</v>
      </c>
    </row>
    <row r="1251" spans="1:12" x14ac:dyDescent="0.15">
      <c r="A1251" s="1" t="s">
        <v>905</v>
      </c>
      <c r="B1251" s="1" t="s">
        <v>910</v>
      </c>
      <c r="C1251" s="1" t="s">
        <v>1406</v>
      </c>
      <c r="D1251" s="1" t="s">
        <v>688</v>
      </c>
      <c r="E1251" s="1" t="s">
        <v>3624</v>
      </c>
      <c r="F1251" s="3">
        <v>0</v>
      </c>
      <c r="G1251" s="8" t="s">
        <v>2771</v>
      </c>
      <c r="H1251" s="8" t="s">
        <v>5162</v>
      </c>
      <c r="I1251" s="3">
        <v>30</v>
      </c>
      <c r="J1251" s="3" t="s">
        <v>5542</v>
      </c>
      <c r="K1251" s="17" t="str">
        <f>HYPERLINK("http://ictvonline.org/taxonomyHistory.asp?taxnode_id=20171470","ICTVonline=20171470")</f>
        <v>ICTVonline=20171470</v>
      </c>
      <c r="L1251" s="3">
        <v>1250</v>
      </c>
    </row>
    <row r="1252" spans="1:12" x14ac:dyDescent="0.15">
      <c r="A1252" s="1" t="s">
        <v>905</v>
      </c>
      <c r="B1252" s="1" t="s">
        <v>910</v>
      </c>
      <c r="C1252" s="1" t="s">
        <v>1406</v>
      </c>
      <c r="D1252" s="1" t="s">
        <v>1408</v>
      </c>
      <c r="E1252" s="1" t="s">
        <v>3625</v>
      </c>
      <c r="F1252" s="3">
        <v>1</v>
      </c>
      <c r="G1252" s="8" t="s">
        <v>2771</v>
      </c>
      <c r="H1252" s="8" t="s">
        <v>5162</v>
      </c>
      <c r="I1252" s="3">
        <v>30</v>
      </c>
      <c r="J1252" s="3" t="s">
        <v>5542</v>
      </c>
      <c r="K1252" s="17" t="str">
        <f>HYPERLINK("http://ictvonline.org/taxonomyHistory.asp?taxnode_id=20171472","ICTVonline=20171472")</f>
        <v>ICTVonline=20171472</v>
      </c>
      <c r="L1252" s="3">
        <v>1251</v>
      </c>
    </row>
    <row r="1253" spans="1:12" x14ac:dyDescent="0.15">
      <c r="A1253" s="1" t="s">
        <v>905</v>
      </c>
      <c r="B1253" s="1" t="s">
        <v>910</v>
      </c>
      <c r="C1253" s="1" t="s">
        <v>1406</v>
      </c>
      <c r="D1253" s="1" t="s">
        <v>1409</v>
      </c>
      <c r="E1253" s="1" t="s">
        <v>3626</v>
      </c>
      <c r="F1253" s="3">
        <v>0</v>
      </c>
      <c r="G1253" s="8" t="s">
        <v>2771</v>
      </c>
      <c r="H1253" s="8" t="s">
        <v>5162</v>
      </c>
      <c r="I1253" s="3">
        <v>30</v>
      </c>
      <c r="J1253" s="3" t="s">
        <v>5542</v>
      </c>
      <c r="K1253" s="17" t="str">
        <f>HYPERLINK("http://ictvonline.org/taxonomyHistory.asp?taxnode_id=20171474","ICTVonline=20171474")</f>
        <v>ICTVonline=20171474</v>
      </c>
      <c r="L1253" s="3">
        <v>1252</v>
      </c>
    </row>
    <row r="1254" spans="1:12" x14ac:dyDescent="0.15">
      <c r="A1254" s="1" t="s">
        <v>905</v>
      </c>
      <c r="B1254" s="1" t="s">
        <v>910</v>
      </c>
      <c r="C1254" s="1" t="s">
        <v>1406</v>
      </c>
      <c r="D1254" s="1" t="s">
        <v>1409</v>
      </c>
      <c r="E1254" s="1" t="s">
        <v>3627</v>
      </c>
      <c r="F1254" s="3">
        <v>1</v>
      </c>
      <c r="G1254" s="8" t="s">
        <v>2771</v>
      </c>
      <c r="H1254" s="8" t="s">
        <v>5162</v>
      </c>
      <c r="I1254" s="3">
        <v>30</v>
      </c>
      <c r="J1254" s="3" t="s">
        <v>5542</v>
      </c>
      <c r="K1254" s="17" t="str">
        <f>HYPERLINK("http://ictvonline.org/taxonomyHistory.asp?taxnode_id=20171475","ICTVonline=20171475")</f>
        <v>ICTVonline=20171475</v>
      </c>
      <c r="L1254" s="3">
        <v>1253</v>
      </c>
    </row>
    <row r="1255" spans="1:12" x14ac:dyDescent="0.15">
      <c r="A1255" s="1" t="s">
        <v>905</v>
      </c>
      <c r="B1255" s="1" t="s">
        <v>910</v>
      </c>
      <c r="C1255" s="1" t="s">
        <v>1406</v>
      </c>
      <c r="D1255" s="1" t="s">
        <v>1409</v>
      </c>
      <c r="E1255" s="1" t="s">
        <v>3628</v>
      </c>
      <c r="F1255" s="3">
        <v>0</v>
      </c>
      <c r="G1255" s="8" t="s">
        <v>2771</v>
      </c>
      <c r="H1255" s="8" t="s">
        <v>5162</v>
      </c>
      <c r="I1255" s="3">
        <v>30</v>
      </c>
      <c r="J1255" s="3" t="s">
        <v>5542</v>
      </c>
      <c r="K1255" s="17" t="str">
        <f>HYPERLINK("http://ictvonline.org/taxonomyHistory.asp?taxnode_id=20171476","ICTVonline=20171476")</f>
        <v>ICTVonline=20171476</v>
      </c>
      <c r="L1255" s="3">
        <v>1254</v>
      </c>
    </row>
    <row r="1256" spans="1:12" x14ac:dyDescent="0.15">
      <c r="A1256" s="1" t="s">
        <v>905</v>
      </c>
      <c r="B1256" s="1" t="s">
        <v>910</v>
      </c>
      <c r="C1256" s="1" t="s">
        <v>1406</v>
      </c>
      <c r="D1256" s="1" t="s">
        <v>908</v>
      </c>
      <c r="E1256" s="1" t="s">
        <v>3629</v>
      </c>
      <c r="F1256" s="3">
        <v>0</v>
      </c>
      <c r="G1256" s="8" t="s">
        <v>2771</v>
      </c>
      <c r="H1256" s="8" t="s">
        <v>5162</v>
      </c>
      <c r="I1256" s="3">
        <v>30</v>
      </c>
      <c r="J1256" s="3" t="s">
        <v>5542</v>
      </c>
      <c r="K1256" s="17" t="str">
        <f>HYPERLINK("http://ictvonline.org/taxonomyHistory.asp?taxnode_id=20171478","ICTVonline=20171478")</f>
        <v>ICTVonline=20171478</v>
      </c>
      <c r="L1256" s="3">
        <v>1255</v>
      </c>
    </row>
    <row r="1257" spans="1:12" x14ac:dyDescent="0.15">
      <c r="A1257" s="1" t="s">
        <v>905</v>
      </c>
      <c r="B1257" s="1" t="s">
        <v>910</v>
      </c>
      <c r="C1257" s="1" t="s">
        <v>1406</v>
      </c>
      <c r="D1257" s="1" t="s">
        <v>908</v>
      </c>
      <c r="E1257" s="1" t="s">
        <v>3630</v>
      </c>
      <c r="F1257" s="3">
        <v>0</v>
      </c>
      <c r="G1257" s="8" t="s">
        <v>2771</v>
      </c>
      <c r="H1257" s="8" t="s">
        <v>5162</v>
      </c>
      <c r="I1257" s="3">
        <v>30</v>
      </c>
      <c r="J1257" s="3" t="s">
        <v>5542</v>
      </c>
      <c r="K1257" s="17" t="str">
        <f>HYPERLINK("http://ictvonline.org/taxonomyHistory.asp?taxnode_id=20171479","ICTVonline=20171479")</f>
        <v>ICTVonline=20171479</v>
      </c>
      <c r="L1257" s="3">
        <v>1256</v>
      </c>
    </row>
    <row r="1258" spans="1:12" x14ac:dyDescent="0.15">
      <c r="A1258" s="1" t="s">
        <v>905</v>
      </c>
      <c r="B1258" s="1" t="s">
        <v>910</v>
      </c>
      <c r="C1258" s="1" t="s">
        <v>1406</v>
      </c>
      <c r="D1258" s="1" t="s">
        <v>908</v>
      </c>
      <c r="E1258" s="1" t="s">
        <v>3631</v>
      </c>
      <c r="F1258" s="3">
        <v>0</v>
      </c>
      <c r="G1258" s="8" t="s">
        <v>2771</v>
      </c>
      <c r="H1258" s="8" t="s">
        <v>5162</v>
      </c>
      <c r="I1258" s="3">
        <v>30</v>
      </c>
      <c r="J1258" s="3" t="s">
        <v>5542</v>
      </c>
      <c r="K1258" s="17" t="str">
        <f>HYPERLINK("http://ictvonline.org/taxonomyHistory.asp?taxnode_id=20171480","ICTVonline=20171480")</f>
        <v>ICTVonline=20171480</v>
      </c>
      <c r="L1258" s="3">
        <v>1257</v>
      </c>
    </row>
    <row r="1259" spans="1:12" x14ac:dyDescent="0.15">
      <c r="A1259" s="1" t="s">
        <v>905</v>
      </c>
      <c r="B1259" s="1" t="s">
        <v>910</v>
      </c>
      <c r="C1259" s="1" t="s">
        <v>1413</v>
      </c>
      <c r="D1259" s="1" t="s">
        <v>1308</v>
      </c>
      <c r="E1259" s="1" t="s">
        <v>3632</v>
      </c>
      <c r="F1259" s="3">
        <v>0</v>
      </c>
      <c r="G1259" s="8" t="s">
        <v>2771</v>
      </c>
      <c r="H1259" s="8" t="s">
        <v>5162</v>
      </c>
      <c r="I1259" s="3">
        <v>30</v>
      </c>
      <c r="J1259" s="3" t="s">
        <v>5542</v>
      </c>
      <c r="K1259" s="17" t="str">
        <f>HYPERLINK("http://ictvonline.org/taxonomyHistory.asp?taxnode_id=20171483","ICTVonline=20171483")</f>
        <v>ICTVonline=20171483</v>
      </c>
      <c r="L1259" s="3">
        <v>1258</v>
      </c>
    </row>
    <row r="1260" spans="1:12" x14ac:dyDescent="0.15">
      <c r="A1260" s="1" t="s">
        <v>905</v>
      </c>
      <c r="B1260" s="1" t="s">
        <v>910</v>
      </c>
      <c r="C1260" s="1" t="s">
        <v>1413</v>
      </c>
      <c r="D1260" s="1" t="s">
        <v>1308</v>
      </c>
      <c r="E1260" s="1" t="s">
        <v>3633</v>
      </c>
      <c r="F1260" s="3">
        <v>0</v>
      </c>
      <c r="G1260" s="8" t="s">
        <v>2771</v>
      </c>
      <c r="H1260" s="8" t="s">
        <v>5162</v>
      </c>
      <c r="I1260" s="3">
        <v>30</v>
      </c>
      <c r="J1260" s="3" t="s">
        <v>5542</v>
      </c>
      <c r="K1260" s="17" t="str">
        <f>HYPERLINK("http://ictvonline.org/taxonomyHistory.asp?taxnode_id=20171484","ICTVonline=20171484")</f>
        <v>ICTVonline=20171484</v>
      </c>
      <c r="L1260" s="3">
        <v>1259</v>
      </c>
    </row>
    <row r="1261" spans="1:12" x14ac:dyDescent="0.15">
      <c r="A1261" s="1" t="s">
        <v>905</v>
      </c>
      <c r="B1261" s="1" t="s">
        <v>910</v>
      </c>
      <c r="C1261" s="1" t="s">
        <v>1413</v>
      </c>
      <c r="D1261" s="1" t="s">
        <v>1308</v>
      </c>
      <c r="E1261" s="1" t="s">
        <v>3634</v>
      </c>
      <c r="F1261" s="3">
        <v>0</v>
      </c>
      <c r="G1261" s="8" t="s">
        <v>2771</v>
      </c>
      <c r="H1261" s="8" t="s">
        <v>5162</v>
      </c>
      <c r="I1261" s="3">
        <v>30</v>
      </c>
      <c r="J1261" s="3" t="s">
        <v>5542</v>
      </c>
      <c r="K1261" s="17" t="str">
        <f>HYPERLINK("http://ictvonline.org/taxonomyHistory.asp?taxnode_id=20171485","ICTVonline=20171485")</f>
        <v>ICTVonline=20171485</v>
      </c>
      <c r="L1261" s="3">
        <v>1260</v>
      </c>
    </row>
    <row r="1262" spans="1:12" x14ac:dyDescent="0.15">
      <c r="A1262" s="1" t="s">
        <v>905</v>
      </c>
      <c r="B1262" s="1" t="s">
        <v>910</v>
      </c>
      <c r="C1262" s="1" t="s">
        <v>1413</v>
      </c>
      <c r="D1262" s="1" t="s">
        <v>1308</v>
      </c>
      <c r="E1262" s="1" t="s">
        <v>3635</v>
      </c>
      <c r="F1262" s="3">
        <v>1</v>
      </c>
      <c r="G1262" s="8" t="s">
        <v>2771</v>
      </c>
      <c r="H1262" s="8" t="s">
        <v>5162</v>
      </c>
      <c r="I1262" s="3">
        <v>30</v>
      </c>
      <c r="J1262" s="3" t="s">
        <v>5542</v>
      </c>
      <c r="K1262" s="17" t="str">
        <f>HYPERLINK("http://ictvonline.org/taxonomyHistory.asp?taxnode_id=20171486","ICTVonline=20171486")</f>
        <v>ICTVonline=20171486</v>
      </c>
      <c r="L1262" s="3">
        <v>1261</v>
      </c>
    </row>
    <row r="1263" spans="1:12" x14ac:dyDescent="0.15">
      <c r="A1263" s="1" t="s">
        <v>905</v>
      </c>
      <c r="B1263" s="1" t="s">
        <v>910</v>
      </c>
      <c r="C1263" s="1" t="s">
        <v>1413</v>
      </c>
      <c r="D1263" s="1" t="s">
        <v>1308</v>
      </c>
      <c r="E1263" s="1" t="s">
        <v>3636</v>
      </c>
      <c r="F1263" s="3">
        <v>0</v>
      </c>
      <c r="G1263" s="8" t="s">
        <v>2771</v>
      </c>
      <c r="H1263" s="8" t="s">
        <v>5162</v>
      </c>
      <c r="I1263" s="3">
        <v>30</v>
      </c>
      <c r="J1263" s="3" t="s">
        <v>5542</v>
      </c>
      <c r="K1263" s="17" t="str">
        <f>HYPERLINK("http://ictvonline.org/taxonomyHistory.asp?taxnode_id=20171487","ICTVonline=20171487")</f>
        <v>ICTVonline=20171487</v>
      </c>
      <c r="L1263" s="3">
        <v>1262</v>
      </c>
    </row>
    <row r="1264" spans="1:12" x14ac:dyDescent="0.15">
      <c r="A1264" s="1" t="s">
        <v>905</v>
      </c>
      <c r="B1264" s="1" t="s">
        <v>910</v>
      </c>
      <c r="C1264" s="1" t="s">
        <v>1413</v>
      </c>
      <c r="D1264" s="1" t="s">
        <v>1308</v>
      </c>
      <c r="E1264" s="1" t="s">
        <v>3637</v>
      </c>
      <c r="F1264" s="3">
        <v>0</v>
      </c>
      <c r="G1264" s="8" t="s">
        <v>2771</v>
      </c>
      <c r="H1264" s="8" t="s">
        <v>5162</v>
      </c>
      <c r="I1264" s="3">
        <v>30</v>
      </c>
      <c r="J1264" s="3" t="s">
        <v>5542</v>
      </c>
      <c r="K1264" s="17" t="str">
        <f>HYPERLINK("http://ictvonline.org/taxonomyHistory.asp?taxnode_id=20171488","ICTVonline=20171488")</f>
        <v>ICTVonline=20171488</v>
      </c>
      <c r="L1264" s="3">
        <v>1263</v>
      </c>
    </row>
    <row r="1265" spans="1:12" x14ac:dyDescent="0.15">
      <c r="A1265" s="1" t="s">
        <v>905</v>
      </c>
      <c r="B1265" s="1" t="s">
        <v>910</v>
      </c>
      <c r="C1265" s="1" t="s">
        <v>1413</v>
      </c>
      <c r="D1265" s="1" t="s">
        <v>1308</v>
      </c>
      <c r="E1265" s="1" t="s">
        <v>3638</v>
      </c>
      <c r="F1265" s="3">
        <v>0</v>
      </c>
      <c r="G1265" s="8" t="s">
        <v>2771</v>
      </c>
      <c r="H1265" s="8" t="s">
        <v>5162</v>
      </c>
      <c r="I1265" s="3">
        <v>30</v>
      </c>
      <c r="J1265" s="3" t="s">
        <v>5542</v>
      </c>
      <c r="K1265" s="17" t="str">
        <f>HYPERLINK("http://ictvonline.org/taxonomyHistory.asp?taxnode_id=20171489","ICTVonline=20171489")</f>
        <v>ICTVonline=20171489</v>
      </c>
      <c r="L1265" s="3">
        <v>1264</v>
      </c>
    </row>
    <row r="1266" spans="1:12" x14ac:dyDescent="0.15">
      <c r="A1266" s="1" t="s">
        <v>905</v>
      </c>
      <c r="B1266" s="1" t="s">
        <v>910</v>
      </c>
      <c r="C1266" s="1" t="s">
        <v>1413</v>
      </c>
      <c r="D1266" s="1" t="s">
        <v>1308</v>
      </c>
      <c r="E1266" s="1" t="s">
        <v>3639</v>
      </c>
      <c r="F1266" s="3">
        <v>0</v>
      </c>
      <c r="G1266" s="8" t="s">
        <v>2771</v>
      </c>
      <c r="H1266" s="8" t="s">
        <v>5162</v>
      </c>
      <c r="I1266" s="3">
        <v>30</v>
      </c>
      <c r="J1266" s="3" t="s">
        <v>5542</v>
      </c>
      <c r="K1266" s="17" t="str">
        <f>HYPERLINK("http://ictvonline.org/taxonomyHistory.asp?taxnode_id=20171490","ICTVonline=20171490")</f>
        <v>ICTVonline=20171490</v>
      </c>
      <c r="L1266" s="3">
        <v>1265</v>
      </c>
    </row>
    <row r="1267" spans="1:12" x14ac:dyDescent="0.15">
      <c r="A1267" s="1" t="s">
        <v>905</v>
      </c>
      <c r="B1267" s="1" t="s">
        <v>910</v>
      </c>
      <c r="C1267" s="1" t="s">
        <v>1413</v>
      </c>
      <c r="D1267" s="1" t="s">
        <v>1332</v>
      </c>
      <c r="E1267" s="1" t="s">
        <v>3640</v>
      </c>
      <c r="F1267" s="3">
        <v>1</v>
      </c>
      <c r="G1267" s="8" t="s">
        <v>2771</v>
      </c>
      <c r="H1267" s="8" t="s">
        <v>5162</v>
      </c>
      <c r="I1267" s="3">
        <v>30</v>
      </c>
      <c r="J1267" s="3" t="s">
        <v>5542</v>
      </c>
      <c r="K1267" s="17" t="str">
        <f>HYPERLINK("http://ictvonline.org/taxonomyHistory.asp?taxnode_id=20171492","ICTVonline=20171492")</f>
        <v>ICTVonline=20171492</v>
      </c>
      <c r="L1267" s="3">
        <v>1266</v>
      </c>
    </row>
    <row r="1268" spans="1:12" x14ac:dyDescent="0.15">
      <c r="A1268" s="1" t="s">
        <v>905</v>
      </c>
      <c r="B1268" s="1" t="s">
        <v>910</v>
      </c>
      <c r="C1268" s="1" t="s">
        <v>1413</v>
      </c>
      <c r="D1268" s="1" t="s">
        <v>1332</v>
      </c>
      <c r="E1268" s="1" t="s">
        <v>3641</v>
      </c>
      <c r="F1268" s="3">
        <v>0</v>
      </c>
      <c r="G1268" s="8" t="s">
        <v>2771</v>
      </c>
      <c r="H1268" s="8" t="s">
        <v>5162</v>
      </c>
      <c r="I1268" s="3">
        <v>30</v>
      </c>
      <c r="J1268" s="3" t="s">
        <v>5542</v>
      </c>
      <c r="K1268" s="17" t="str">
        <f>HYPERLINK("http://ictvonline.org/taxonomyHistory.asp?taxnode_id=20171493","ICTVonline=20171493")</f>
        <v>ICTVonline=20171493</v>
      </c>
      <c r="L1268" s="3">
        <v>1267</v>
      </c>
    </row>
    <row r="1269" spans="1:12" x14ac:dyDescent="0.15">
      <c r="A1269" s="1" t="s">
        <v>905</v>
      </c>
      <c r="B1269" s="1" t="s">
        <v>910</v>
      </c>
      <c r="C1269" s="1" t="s">
        <v>1413</v>
      </c>
      <c r="D1269" s="1" t="s">
        <v>1332</v>
      </c>
      <c r="E1269" s="1" t="s">
        <v>3642</v>
      </c>
      <c r="F1269" s="3">
        <v>0</v>
      </c>
      <c r="G1269" s="8" t="s">
        <v>2771</v>
      </c>
      <c r="H1269" s="8" t="s">
        <v>5162</v>
      </c>
      <c r="I1269" s="3">
        <v>30</v>
      </c>
      <c r="J1269" s="3" t="s">
        <v>5542</v>
      </c>
      <c r="K1269" s="17" t="str">
        <f>HYPERLINK("http://ictvonline.org/taxonomyHistory.asp?taxnode_id=20171494","ICTVonline=20171494")</f>
        <v>ICTVonline=20171494</v>
      </c>
      <c r="L1269" s="3">
        <v>1268</v>
      </c>
    </row>
    <row r="1270" spans="1:12" x14ac:dyDescent="0.15">
      <c r="A1270" s="1" t="s">
        <v>905</v>
      </c>
      <c r="B1270" s="1" t="s">
        <v>910</v>
      </c>
      <c r="C1270" s="1" t="s">
        <v>1413</v>
      </c>
      <c r="D1270" s="1" t="s">
        <v>1332</v>
      </c>
      <c r="E1270" s="1" t="s">
        <v>3643</v>
      </c>
      <c r="F1270" s="3">
        <v>0</v>
      </c>
      <c r="G1270" s="8" t="s">
        <v>2771</v>
      </c>
      <c r="H1270" s="8" t="s">
        <v>5162</v>
      </c>
      <c r="I1270" s="3">
        <v>30</v>
      </c>
      <c r="J1270" s="3" t="s">
        <v>5542</v>
      </c>
      <c r="K1270" s="17" t="str">
        <f>HYPERLINK("http://ictvonline.org/taxonomyHistory.asp?taxnode_id=20171495","ICTVonline=20171495")</f>
        <v>ICTVonline=20171495</v>
      </c>
      <c r="L1270" s="3">
        <v>1269</v>
      </c>
    </row>
    <row r="1271" spans="1:12" x14ac:dyDescent="0.15">
      <c r="A1271" s="1" t="s">
        <v>905</v>
      </c>
      <c r="B1271" s="1" t="s">
        <v>910</v>
      </c>
      <c r="C1271" s="1" t="s">
        <v>1413</v>
      </c>
      <c r="D1271" s="1" t="s">
        <v>1332</v>
      </c>
      <c r="E1271" s="1" t="s">
        <v>3644</v>
      </c>
      <c r="F1271" s="3">
        <v>0</v>
      </c>
      <c r="G1271" s="8" t="s">
        <v>2771</v>
      </c>
      <c r="H1271" s="8" t="s">
        <v>5162</v>
      </c>
      <c r="I1271" s="3">
        <v>30</v>
      </c>
      <c r="J1271" s="3" t="s">
        <v>5542</v>
      </c>
      <c r="K1271" s="17" t="str">
        <f>HYPERLINK("http://ictvonline.org/taxonomyHistory.asp?taxnode_id=20171496","ICTVonline=20171496")</f>
        <v>ICTVonline=20171496</v>
      </c>
      <c r="L1271" s="3">
        <v>1270</v>
      </c>
    </row>
    <row r="1272" spans="1:12" x14ac:dyDescent="0.15">
      <c r="A1272" s="1" t="s">
        <v>905</v>
      </c>
      <c r="B1272" s="1" t="s">
        <v>910</v>
      </c>
      <c r="C1272" s="1" t="s">
        <v>1413</v>
      </c>
      <c r="D1272" s="1" t="s">
        <v>1332</v>
      </c>
      <c r="E1272" s="1" t="s">
        <v>3645</v>
      </c>
      <c r="F1272" s="3">
        <v>0</v>
      </c>
      <c r="G1272" s="8" t="s">
        <v>2771</v>
      </c>
      <c r="H1272" s="8" t="s">
        <v>5162</v>
      </c>
      <c r="I1272" s="3">
        <v>30</v>
      </c>
      <c r="J1272" s="3" t="s">
        <v>5542</v>
      </c>
      <c r="K1272" s="17" t="str">
        <f>HYPERLINK("http://ictvonline.org/taxonomyHistory.asp?taxnode_id=20171497","ICTVonline=20171497")</f>
        <v>ICTVonline=20171497</v>
      </c>
      <c r="L1272" s="3">
        <v>1271</v>
      </c>
    </row>
    <row r="1273" spans="1:12" x14ac:dyDescent="0.15">
      <c r="A1273" s="1" t="s">
        <v>905</v>
      </c>
      <c r="B1273" s="1" t="s">
        <v>910</v>
      </c>
      <c r="C1273" s="1" t="s">
        <v>1413</v>
      </c>
      <c r="D1273" s="1" t="s">
        <v>1332</v>
      </c>
      <c r="E1273" s="1" t="s">
        <v>3646</v>
      </c>
      <c r="F1273" s="3">
        <v>0</v>
      </c>
      <c r="G1273" s="8" t="s">
        <v>2771</v>
      </c>
      <c r="H1273" s="8" t="s">
        <v>5162</v>
      </c>
      <c r="I1273" s="3">
        <v>30</v>
      </c>
      <c r="J1273" s="3" t="s">
        <v>5542</v>
      </c>
      <c r="K1273" s="17" t="str">
        <f>HYPERLINK("http://ictvonline.org/taxonomyHistory.asp?taxnode_id=20171498","ICTVonline=20171498")</f>
        <v>ICTVonline=20171498</v>
      </c>
      <c r="L1273" s="3">
        <v>1272</v>
      </c>
    </row>
    <row r="1274" spans="1:12" x14ac:dyDescent="0.15">
      <c r="A1274" s="1" t="s">
        <v>905</v>
      </c>
      <c r="B1274" s="1" t="s">
        <v>910</v>
      </c>
      <c r="C1274" s="1" t="s">
        <v>1413</v>
      </c>
      <c r="D1274" s="1" t="s">
        <v>1332</v>
      </c>
      <c r="E1274" s="1" t="s">
        <v>3647</v>
      </c>
      <c r="F1274" s="3">
        <v>0</v>
      </c>
      <c r="G1274" s="8" t="s">
        <v>2771</v>
      </c>
      <c r="H1274" s="8" t="s">
        <v>5162</v>
      </c>
      <c r="I1274" s="3">
        <v>30</v>
      </c>
      <c r="J1274" s="3" t="s">
        <v>5542</v>
      </c>
      <c r="K1274" s="17" t="str">
        <f>HYPERLINK("http://ictvonline.org/taxonomyHistory.asp?taxnode_id=20171499","ICTVonline=20171499")</f>
        <v>ICTVonline=20171499</v>
      </c>
      <c r="L1274" s="3">
        <v>1273</v>
      </c>
    </row>
    <row r="1275" spans="1:12" x14ac:dyDescent="0.15">
      <c r="A1275" s="1" t="s">
        <v>905</v>
      </c>
      <c r="B1275" s="1" t="s">
        <v>910</v>
      </c>
      <c r="C1275" s="1" t="s">
        <v>1413</v>
      </c>
      <c r="D1275" s="1" t="s">
        <v>1332</v>
      </c>
      <c r="E1275" s="1" t="s">
        <v>3648</v>
      </c>
      <c r="F1275" s="3">
        <v>0</v>
      </c>
      <c r="G1275" s="8" t="s">
        <v>2771</v>
      </c>
      <c r="H1275" s="8" t="s">
        <v>5162</v>
      </c>
      <c r="I1275" s="3">
        <v>30</v>
      </c>
      <c r="J1275" s="3" t="s">
        <v>5542</v>
      </c>
      <c r="K1275" s="17" t="str">
        <f>HYPERLINK("http://ictvonline.org/taxonomyHistory.asp?taxnode_id=20171500","ICTVonline=20171500")</f>
        <v>ICTVonline=20171500</v>
      </c>
      <c r="L1275" s="3">
        <v>1274</v>
      </c>
    </row>
    <row r="1276" spans="1:12" x14ac:dyDescent="0.15">
      <c r="A1276" s="1" t="s">
        <v>905</v>
      </c>
      <c r="B1276" s="1" t="s">
        <v>910</v>
      </c>
      <c r="C1276" s="1" t="s">
        <v>1413</v>
      </c>
      <c r="D1276" s="1" t="s">
        <v>1301</v>
      </c>
      <c r="E1276" s="1" t="s">
        <v>3649</v>
      </c>
      <c r="F1276" s="3">
        <v>1</v>
      </c>
      <c r="G1276" s="8" t="s">
        <v>2771</v>
      </c>
      <c r="H1276" s="8" t="s">
        <v>5162</v>
      </c>
      <c r="I1276" s="3">
        <v>30</v>
      </c>
      <c r="J1276" s="3" t="s">
        <v>5542</v>
      </c>
      <c r="K1276" s="17" t="str">
        <f>HYPERLINK("http://ictvonline.org/taxonomyHistory.asp?taxnode_id=20171502","ICTVonline=20171502")</f>
        <v>ICTVonline=20171502</v>
      </c>
      <c r="L1276" s="3">
        <v>1275</v>
      </c>
    </row>
    <row r="1277" spans="1:12" x14ac:dyDescent="0.15">
      <c r="A1277" s="1" t="s">
        <v>905</v>
      </c>
      <c r="B1277" s="1" t="s">
        <v>910</v>
      </c>
      <c r="C1277" s="1" t="s">
        <v>1413</v>
      </c>
      <c r="D1277" s="1" t="s">
        <v>1301</v>
      </c>
      <c r="E1277" s="1" t="s">
        <v>3650</v>
      </c>
      <c r="F1277" s="3">
        <v>0</v>
      </c>
      <c r="G1277" s="8" t="s">
        <v>2771</v>
      </c>
      <c r="H1277" s="8" t="s">
        <v>5162</v>
      </c>
      <c r="I1277" s="3">
        <v>30</v>
      </c>
      <c r="J1277" s="3" t="s">
        <v>5542</v>
      </c>
      <c r="K1277" s="17" t="str">
        <f>HYPERLINK("http://ictvonline.org/taxonomyHistory.asp?taxnode_id=20171503","ICTVonline=20171503")</f>
        <v>ICTVonline=20171503</v>
      </c>
      <c r="L1277" s="3">
        <v>1276</v>
      </c>
    </row>
    <row r="1278" spans="1:12" x14ac:dyDescent="0.15">
      <c r="A1278" s="1" t="s">
        <v>905</v>
      </c>
      <c r="B1278" s="1" t="s">
        <v>910</v>
      </c>
      <c r="C1278" s="1" t="s">
        <v>1413</v>
      </c>
      <c r="D1278" s="1" t="s">
        <v>1301</v>
      </c>
      <c r="E1278" s="1" t="s">
        <v>3651</v>
      </c>
      <c r="F1278" s="3">
        <v>0</v>
      </c>
      <c r="G1278" s="8" t="s">
        <v>2771</v>
      </c>
      <c r="H1278" s="8" t="s">
        <v>5162</v>
      </c>
      <c r="I1278" s="3">
        <v>30</v>
      </c>
      <c r="J1278" s="3" t="s">
        <v>5542</v>
      </c>
      <c r="K1278" s="17" t="str">
        <f>HYPERLINK("http://ictvonline.org/taxonomyHistory.asp?taxnode_id=20171504","ICTVonline=20171504")</f>
        <v>ICTVonline=20171504</v>
      </c>
      <c r="L1278" s="3">
        <v>1277</v>
      </c>
    </row>
    <row r="1279" spans="1:12" x14ac:dyDescent="0.15">
      <c r="A1279" s="1" t="s">
        <v>905</v>
      </c>
      <c r="B1279" s="1" t="s">
        <v>910</v>
      </c>
      <c r="C1279" s="1" t="s">
        <v>1413</v>
      </c>
      <c r="D1279" s="1" t="s">
        <v>1302</v>
      </c>
      <c r="E1279" s="1" t="s">
        <v>3652</v>
      </c>
      <c r="F1279" s="3">
        <v>0</v>
      </c>
      <c r="G1279" s="8" t="s">
        <v>2771</v>
      </c>
      <c r="H1279" s="8" t="s">
        <v>5162</v>
      </c>
      <c r="I1279" s="3">
        <v>30</v>
      </c>
      <c r="J1279" s="3" t="s">
        <v>5542</v>
      </c>
      <c r="K1279" s="17" t="str">
        <f>HYPERLINK("http://ictvonline.org/taxonomyHistory.asp?taxnode_id=20171506","ICTVonline=20171506")</f>
        <v>ICTVonline=20171506</v>
      </c>
      <c r="L1279" s="3">
        <v>1278</v>
      </c>
    </row>
    <row r="1280" spans="1:12" x14ac:dyDescent="0.15">
      <c r="A1280" s="1" t="s">
        <v>905</v>
      </c>
      <c r="B1280" s="1" t="s">
        <v>910</v>
      </c>
      <c r="C1280" s="1" t="s">
        <v>1413</v>
      </c>
      <c r="D1280" s="1" t="s">
        <v>1302</v>
      </c>
      <c r="E1280" s="1" t="s">
        <v>3653</v>
      </c>
      <c r="F1280" s="3">
        <v>0</v>
      </c>
      <c r="G1280" s="8" t="s">
        <v>2771</v>
      </c>
      <c r="H1280" s="8" t="s">
        <v>5162</v>
      </c>
      <c r="I1280" s="3">
        <v>30</v>
      </c>
      <c r="J1280" s="3" t="s">
        <v>5542</v>
      </c>
      <c r="K1280" s="17" t="str">
        <f>HYPERLINK("http://ictvonline.org/taxonomyHistory.asp?taxnode_id=20171507","ICTVonline=20171507")</f>
        <v>ICTVonline=20171507</v>
      </c>
      <c r="L1280" s="3">
        <v>1279</v>
      </c>
    </row>
    <row r="1281" spans="1:12" x14ac:dyDescent="0.15">
      <c r="A1281" s="1" t="s">
        <v>905</v>
      </c>
      <c r="B1281" s="1" t="s">
        <v>910</v>
      </c>
      <c r="C1281" s="1" t="s">
        <v>1413</v>
      </c>
      <c r="D1281" s="1" t="s">
        <v>1302</v>
      </c>
      <c r="E1281" s="1" t="s">
        <v>3654</v>
      </c>
      <c r="F1281" s="3">
        <v>0</v>
      </c>
      <c r="G1281" s="8" t="s">
        <v>2771</v>
      </c>
      <c r="H1281" s="8" t="s">
        <v>5162</v>
      </c>
      <c r="I1281" s="3">
        <v>30</v>
      </c>
      <c r="J1281" s="3" t="s">
        <v>5542</v>
      </c>
      <c r="K1281" s="17" t="str">
        <f>HYPERLINK("http://ictvonline.org/taxonomyHistory.asp?taxnode_id=20171508","ICTVonline=20171508")</f>
        <v>ICTVonline=20171508</v>
      </c>
      <c r="L1281" s="3">
        <v>1280</v>
      </c>
    </row>
    <row r="1282" spans="1:12" x14ac:dyDescent="0.15">
      <c r="A1282" s="1" t="s">
        <v>905</v>
      </c>
      <c r="B1282" s="1" t="s">
        <v>910</v>
      </c>
      <c r="C1282" s="1" t="s">
        <v>1413</v>
      </c>
      <c r="D1282" s="1" t="s">
        <v>1302</v>
      </c>
      <c r="E1282" s="1" t="s">
        <v>3655</v>
      </c>
      <c r="F1282" s="3">
        <v>0</v>
      </c>
      <c r="G1282" s="8" t="s">
        <v>2771</v>
      </c>
      <c r="H1282" s="8" t="s">
        <v>5162</v>
      </c>
      <c r="I1282" s="3">
        <v>30</v>
      </c>
      <c r="J1282" s="3" t="s">
        <v>5542</v>
      </c>
      <c r="K1282" s="17" t="str">
        <f>HYPERLINK("http://ictvonline.org/taxonomyHistory.asp?taxnode_id=20171509","ICTVonline=20171509")</f>
        <v>ICTVonline=20171509</v>
      </c>
      <c r="L1282" s="3">
        <v>1281</v>
      </c>
    </row>
    <row r="1283" spans="1:12" x14ac:dyDescent="0.15">
      <c r="A1283" s="1" t="s">
        <v>905</v>
      </c>
      <c r="B1283" s="1" t="s">
        <v>910</v>
      </c>
      <c r="C1283" s="1" t="s">
        <v>1413</v>
      </c>
      <c r="D1283" s="1" t="s">
        <v>1302</v>
      </c>
      <c r="E1283" s="1" t="s">
        <v>3656</v>
      </c>
      <c r="F1283" s="3">
        <v>0</v>
      </c>
      <c r="G1283" s="8" t="s">
        <v>2771</v>
      </c>
      <c r="H1283" s="8" t="s">
        <v>5162</v>
      </c>
      <c r="I1283" s="3">
        <v>30</v>
      </c>
      <c r="J1283" s="3" t="s">
        <v>5542</v>
      </c>
      <c r="K1283" s="17" t="str">
        <f>HYPERLINK("http://ictvonline.org/taxonomyHistory.asp?taxnode_id=20171510","ICTVonline=20171510")</f>
        <v>ICTVonline=20171510</v>
      </c>
      <c r="L1283" s="3">
        <v>1282</v>
      </c>
    </row>
    <row r="1284" spans="1:12" x14ac:dyDescent="0.15">
      <c r="A1284" s="1" t="s">
        <v>905</v>
      </c>
      <c r="B1284" s="1" t="s">
        <v>910</v>
      </c>
      <c r="C1284" s="1" t="s">
        <v>1413</v>
      </c>
      <c r="D1284" s="1" t="s">
        <v>1302</v>
      </c>
      <c r="E1284" s="1" t="s">
        <v>3657</v>
      </c>
      <c r="F1284" s="3">
        <v>0</v>
      </c>
      <c r="G1284" s="8" t="s">
        <v>2771</v>
      </c>
      <c r="H1284" s="8" t="s">
        <v>5162</v>
      </c>
      <c r="I1284" s="3">
        <v>30</v>
      </c>
      <c r="J1284" s="3" t="s">
        <v>5542</v>
      </c>
      <c r="K1284" s="17" t="str">
        <f>HYPERLINK("http://ictvonline.org/taxonomyHistory.asp?taxnode_id=20171511","ICTVonline=20171511")</f>
        <v>ICTVonline=20171511</v>
      </c>
      <c r="L1284" s="3">
        <v>1283</v>
      </c>
    </row>
    <row r="1285" spans="1:12" x14ac:dyDescent="0.15">
      <c r="A1285" s="1" t="s">
        <v>905</v>
      </c>
      <c r="B1285" s="1" t="s">
        <v>910</v>
      </c>
      <c r="C1285" s="1" t="s">
        <v>1413</v>
      </c>
      <c r="D1285" s="1" t="s">
        <v>1302</v>
      </c>
      <c r="E1285" s="1" t="s">
        <v>3658</v>
      </c>
      <c r="F1285" s="3">
        <v>0</v>
      </c>
      <c r="G1285" s="8" t="s">
        <v>2771</v>
      </c>
      <c r="H1285" s="8" t="s">
        <v>5162</v>
      </c>
      <c r="I1285" s="3">
        <v>30</v>
      </c>
      <c r="J1285" s="3" t="s">
        <v>5542</v>
      </c>
      <c r="K1285" s="17" t="str">
        <f>HYPERLINK("http://ictvonline.org/taxonomyHistory.asp?taxnode_id=20171512","ICTVonline=20171512")</f>
        <v>ICTVonline=20171512</v>
      </c>
      <c r="L1285" s="3">
        <v>1284</v>
      </c>
    </row>
    <row r="1286" spans="1:12" x14ac:dyDescent="0.15">
      <c r="A1286" s="1" t="s">
        <v>905</v>
      </c>
      <c r="B1286" s="1" t="s">
        <v>910</v>
      </c>
      <c r="C1286" s="1" t="s">
        <v>1413</v>
      </c>
      <c r="D1286" s="1" t="s">
        <v>1302</v>
      </c>
      <c r="E1286" s="1" t="s">
        <v>3659</v>
      </c>
      <c r="F1286" s="3">
        <v>0</v>
      </c>
      <c r="G1286" s="8" t="s">
        <v>2771</v>
      </c>
      <c r="H1286" s="8" t="s">
        <v>5162</v>
      </c>
      <c r="I1286" s="3">
        <v>30</v>
      </c>
      <c r="J1286" s="3" t="s">
        <v>5542</v>
      </c>
      <c r="K1286" s="17" t="str">
        <f>HYPERLINK("http://ictvonline.org/taxonomyHistory.asp?taxnode_id=20171513","ICTVonline=20171513")</f>
        <v>ICTVonline=20171513</v>
      </c>
      <c r="L1286" s="3">
        <v>1285</v>
      </c>
    </row>
    <row r="1287" spans="1:12" x14ac:dyDescent="0.15">
      <c r="A1287" s="1" t="s">
        <v>905</v>
      </c>
      <c r="B1287" s="1" t="s">
        <v>910</v>
      </c>
      <c r="C1287" s="1" t="s">
        <v>1413</v>
      </c>
      <c r="D1287" s="1" t="s">
        <v>1302</v>
      </c>
      <c r="E1287" s="1" t="s">
        <v>3660</v>
      </c>
      <c r="F1287" s="3">
        <v>1</v>
      </c>
      <c r="G1287" s="8" t="s">
        <v>2771</v>
      </c>
      <c r="H1287" s="8" t="s">
        <v>5162</v>
      </c>
      <c r="I1287" s="3">
        <v>30</v>
      </c>
      <c r="J1287" s="3" t="s">
        <v>5542</v>
      </c>
      <c r="K1287" s="17" t="str">
        <f>HYPERLINK("http://ictvonline.org/taxonomyHistory.asp?taxnode_id=20171514","ICTVonline=20171514")</f>
        <v>ICTVonline=20171514</v>
      </c>
      <c r="L1287" s="3">
        <v>1286</v>
      </c>
    </row>
    <row r="1288" spans="1:12" x14ac:dyDescent="0.15">
      <c r="A1288" s="1" t="s">
        <v>905</v>
      </c>
      <c r="B1288" s="1" t="s">
        <v>910</v>
      </c>
      <c r="C1288" s="1" t="s">
        <v>1413</v>
      </c>
      <c r="D1288" s="1" t="s">
        <v>908</v>
      </c>
      <c r="E1288" s="1" t="s">
        <v>3661</v>
      </c>
      <c r="F1288" s="3">
        <v>0</v>
      </c>
      <c r="G1288" s="8" t="s">
        <v>2771</v>
      </c>
      <c r="H1288" s="8" t="s">
        <v>5162</v>
      </c>
      <c r="I1288" s="3">
        <v>30</v>
      </c>
      <c r="J1288" s="3" t="s">
        <v>5542</v>
      </c>
      <c r="K1288" s="17" t="str">
        <f>HYPERLINK("http://ictvonline.org/taxonomyHistory.asp?taxnode_id=20171516","ICTVonline=20171516")</f>
        <v>ICTVonline=20171516</v>
      </c>
      <c r="L1288" s="3">
        <v>1287</v>
      </c>
    </row>
    <row r="1289" spans="1:12" x14ac:dyDescent="0.15">
      <c r="A1289" s="1" t="s">
        <v>905</v>
      </c>
      <c r="B1289" s="1" t="s">
        <v>910</v>
      </c>
      <c r="C1289" s="1" t="s">
        <v>1413</v>
      </c>
      <c r="D1289" s="1" t="s">
        <v>908</v>
      </c>
      <c r="E1289" s="1" t="s">
        <v>3662</v>
      </c>
      <c r="F1289" s="3">
        <v>0</v>
      </c>
      <c r="G1289" s="8" t="s">
        <v>2771</v>
      </c>
      <c r="H1289" s="8" t="s">
        <v>5162</v>
      </c>
      <c r="I1289" s="3">
        <v>30</v>
      </c>
      <c r="J1289" s="3" t="s">
        <v>5542</v>
      </c>
      <c r="K1289" s="17" t="str">
        <f>HYPERLINK("http://ictvonline.org/taxonomyHistory.asp?taxnode_id=20171517","ICTVonline=20171517")</f>
        <v>ICTVonline=20171517</v>
      </c>
      <c r="L1289" s="3">
        <v>1288</v>
      </c>
    </row>
    <row r="1290" spans="1:12" x14ac:dyDescent="0.15">
      <c r="A1290" s="1" t="s">
        <v>905</v>
      </c>
      <c r="B1290" s="1" t="s">
        <v>910</v>
      </c>
      <c r="C1290" s="1" t="s">
        <v>1413</v>
      </c>
      <c r="D1290" s="1" t="s">
        <v>908</v>
      </c>
      <c r="E1290" s="1" t="s">
        <v>3663</v>
      </c>
      <c r="F1290" s="3">
        <v>0</v>
      </c>
      <c r="G1290" s="8" t="s">
        <v>2771</v>
      </c>
      <c r="H1290" s="8" t="s">
        <v>5162</v>
      </c>
      <c r="I1290" s="3">
        <v>30</v>
      </c>
      <c r="J1290" s="3" t="s">
        <v>5542</v>
      </c>
      <c r="K1290" s="17" t="str">
        <f>HYPERLINK("http://ictvonline.org/taxonomyHistory.asp?taxnode_id=20171518","ICTVonline=20171518")</f>
        <v>ICTVonline=20171518</v>
      </c>
      <c r="L1290" s="3">
        <v>1289</v>
      </c>
    </row>
    <row r="1291" spans="1:12" x14ac:dyDescent="0.15">
      <c r="A1291" s="1" t="s">
        <v>905</v>
      </c>
      <c r="B1291" s="1" t="s">
        <v>910</v>
      </c>
      <c r="D1291" s="1" t="s">
        <v>908</v>
      </c>
      <c r="E1291" s="1" t="s">
        <v>1006</v>
      </c>
      <c r="F1291" s="3">
        <v>0</v>
      </c>
      <c r="G1291" s="8" t="s">
        <v>2771</v>
      </c>
      <c r="H1291" s="8" t="s">
        <v>5159</v>
      </c>
      <c r="I1291" s="3">
        <v>24</v>
      </c>
      <c r="J1291" s="3" t="s">
        <v>5540</v>
      </c>
      <c r="K1291" s="17" t="str">
        <f>HYPERLINK("http://ictvonline.org/taxonomyHistory.asp?taxnode_id=20171521","ICTVonline=20171521")</f>
        <v>ICTVonline=20171521</v>
      </c>
      <c r="L1291" s="3">
        <v>1290</v>
      </c>
    </row>
    <row r="1292" spans="1:12" x14ac:dyDescent="0.15">
      <c r="A1292" s="1" t="s">
        <v>905</v>
      </c>
      <c r="B1292" s="1" t="s">
        <v>1086</v>
      </c>
      <c r="D1292" s="1" t="s">
        <v>2174</v>
      </c>
      <c r="E1292" s="1" t="s">
        <v>2175</v>
      </c>
      <c r="F1292" s="3">
        <v>1</v>
      </c>
      <c r="G1292" s="8" t="s">
        <v>2771</v>
      </c>
      <c r="H1292" s="8" t="s">
        <v>5164</v>
      </c>
      <c r="I1292" s="3">
        <v>27</v>
      </c>
      <c r="J1292" s="3" t="s">
        <v>5544</v>
      </c>
      <c r="K1292" s="17" t="str">
        <f>HYPERLINK("http://ictvonline.org/taxonomyHistory.asp?taxnode_id=20171525","ICTVonline=20171525")</f>
        <v>ICTVonline=20171525</v>
      </c>
      <c r="L1292" s="3">
        <v>1291</v>
      </c>
    </row>
    <row r="1293" spans="1:12" x14ac:dyDescent="0.15">
      <c r="A1293" s="1" t="s">
        <v>905</v>
      </c>
      <c r="B1293" s="1" t="s">
        <v>1086</v>
      </c>
      <c r="D1293" s="1" t="s">
        <v>1007</v>
      </c>
      <c r="E1293" s="1" t="s">
        <v>1008</v>
      </c>
      <c r="F1293" s="3">
        <v>1</v>
      </c>
      <c r="G1293" s="8" t="s">
        <v>2771</v>
      </c>
      <c r="H1293" s="8" t="s">
        <v>5164</v>
      </c>
      <c r="I1293" s="3">
        <v>24</v>
      </c>
      <c r="J1293" s="3" t="s">
        <v>5540</v>
      </c>
      <c r="K1293" s="17" t="str">
        <f>HYPERLINK("http://ictvonline.org/taxonomyHistory.asp?taxnode_id=20171527","ICTVonline=20171527")</f>
        <v>ICTVonline=20171527</v>
      </c>
      <c r="L1293" s="3">
        <v>1292</v>
      </c>
    </row>
    <row r="1294" spans="1:12" x14ac:dyDescent="0.15">
      <c r="A1294" s="1" t="s">
        <v>2176</v>
      </c>
      <c r="B1294" s="1" t="s">
        <v>1641</v>
      </c>
      <c r="D1294" s="1" t="s">
        <v>1643</v>
      </c>
      <c r="E1294" s="1" t="s">
        <v>662</v>
      </c>
      <c r="F1294" s="3">
        <v>0</v>
      </c>
      <c r="G1294" s="8" t="s">
        <v>2771</v>
      </c>
      <c r="H1294" s="8" t="s">
        <v>5161</v>
      </c>
      <c r="I1294" s="3">
        <v>27</v>
      </c>
      <c r="J1294" s="3" t="s">
        <v>5545</v>
      </c>
      <c r="K1294" s="17" t="str">
        <f>HYPERLINK("http://ictvonline.org/taxonomyHistory.asp?taxnode_id=20171532","ICTVonline=20171532")</f>
        <v>ICTVonline=20171532</v>
      </c>
      <c r="L1294" s="3">
        <v>1293</v>
      </c>
    </row>
    <row r="1295" spans="1:12" x14ac:dyDescent="0.15">
      <c r="A1295" s="1" t="s">
        <v>2176</v>
      </c>
      <c r="B1295" s="1" t="s">
        <v>1641</v>
      </c>
      <c r="D1295" s="1" t="s">
        <v>1643</v>
      </c>
      <c r="E1295" s="1" t="s">
        <v>661</v>
      </c>
      <c r="F1295" s="3">
        <v>0</v>
      </c>
      <c r="G1295" s="8" t="s">
        <v>2771</v>
      </c>
      <c r="H1295" s="8" t="s">
        <v>5161</v>
      </c>
      <c r="I1295" s="3">
        <v>27</v>
      </c>
      <c r="J1295" s="3" t="s">
        <v>5545</v>
      </c>
      <c r="K1295" s="17" t="str">
        <f>HYPERLINK("http://ictvonline.org/taxonomyHistory.asp?taxnode_id=20171533","ICTVonline=20171533")</f>
        <v>ICTVonline=20171533</v>
      </c>
      <c r="L1295" s="3">
        <v>1294</v>
      </c>
    </row>
    <row r="1296" spans="1:12" x14ac:dyDescent="0.15">
      <c r="A1296" s="1" t="s">
        <v>2176</v>
      </c>
      <c r="B1296" s="1" t="s">
        <v>1641</v>
      </c>
      <c r="D1296" s="1" t="s">
        <v>1643</v>
      </c>
      <c r="E1296" s="1" t="s">
        <v>660</v>
      </c>
      <c r="F1296" s="3">
        <v>0</v>
      </c>
      <c r="G1296" s="8" t="s">
        <v>2771</v>
      </c>
      <c r="H1296" s="8" t="s">
        <v>5161</v>
      </c>
      <c r="I1296" s="3">
        <v>27</v>
      </c>
      <c r="J1296" s="3" t="s">
        <v>5545</v>
      </c>
      <c r="K1296" s="17" t="str">
        <f>HYPERLINK("http://ictvonline.org/taxonomyHistory.asp?taxnode_id=20171534","ICTVonline=20171534")</f>
        <v>ICTVonline=20171534</v>
      </c>
      <c r="L1296" s="3">
        <v>1295</v>
      </c>
    </row>
    <row r="1297" spans="1:12" x14ac:dyDescent="0.15">
      <c r="A1297" s="1" t="s">
        <v>2176</v>
      </c>
      <c r="B1297" s="1" t="s">
        <v>1641</v>
      </c>
      <c r="D1297" s="1" t="s">
        <v>1643</v>
      </c>
      <c r="E1297" s="1" t="s">
        <v>1807</v>
      </c>
      <c r="F1297" s="3">
        <v>0</v>
      </c>
      <c r="G1297" s="8" t="s">
        <v>2771</v>
      </c>
      <c r="H1297" s="8" t="s">
        <v>5161</v>
      </c>
      <c r="I1297" s="3">
        <v>27</v>
      </c>
      <c r="J1297" s="3" t="s">
        <v>5545</v>
      </c>
      <c r="K1297" s="17" t="str">
        <f>HYPERLINK("http://ictvonline.org/taxonomyHistory.asp?taxnode_id=20171535","ICTVonline=20171535")</f>
        <v>ICTVonline=20171535</v>
      </c>
      <c r="L1297" s="3">
        <v>1296</v>
      </c>
    </row>
    <row r="1298" spans="1:12" x14ac:dyDescent="0.15">
      <c r="A1298" s="1" t="s">
        <v>2176</v>
      </c>
      <c r="B1298" s="1" t="s">
        <v>1641</v>
      </c>
      <c r="D1298" s="1" t="s">
        <v>1643</v>
      </c>
      <c r="E1298" s="1" t="s">
        <v>1806</v>
      </c>
      <c r="F1298" s="3">
        <v>0</v>
      </c>
      <c r="G1298" s="8" t="s">
        <v>2771</v>
      </c>
      <c r="H1298" s="8" t="s">
        <v>5161</v>
      </c>
      <c r="I1298" s="3">
        <v>27</v>
      </c>
      <c r="J1298" s="3" t="s">
        <v>5545</v>
      </c>
      <c r="K1298" s="17" t="str">
        <f>HYPERLINK("http://ictvonline.org/taxonomyHistory.asp?taxnode_id=20171536","ICTVonline=20171536")</f>
        <v>ICTVonline=20171536</v>
      </c>
      <c r="L1298" s="3">
        <v>1297</v>
      </c>
    </row>
    <row r="1299" spans="1:12" x14ac:dyDescent="0.15">
      <c r="A1299" s="1" t="s">
        <v>2176</v>
      </c>
      <c r="B1299" s="1" t="s">
        <v>1641</v>
      </c>
      <c r="D1299" s="1" t="s">
        <v>1643</v>
      </c>
      <c r="E1299" s="1" t="s">
        <v>1644</v>
      </c>
      <c r="F1299" s="3">
        <v>1</v>
      </c>
      <c r="G1299" s="8" t="s">
        <v>2771</v>
      </c>
      <c r="H1299" s="8" t="s">
        <v>5161</v>
      </c>
      <c r="I1299" s="3">
        <v>27</v>
      </c>
      <c r="J1299" s="3" t="s">
        <v>5545</v>
      </c>
      <c r="K1299" s="17" t="str">
        <f>HYPERLINK("http://ictvonline.org/taxonomyHistory.asp?taxnode_id=20171537","ICTVonline=20171537")</f>
        <v>ICTVonline=20171537</v>
      </c>
      <c r="L1299" s="3">
        <v>1298</v>
      </c>
    </row>
    <row r="1300" spans="1:12" x14ac:dyDescent="0.15">
      <c r="A1300" s="1" t="s">
        <v>2176</v>
      </c>
      <c r="B1300" s="1" t="s">
        <v>1641</v>
      </c>
      <c r="D1300" s="1" t="s">
        <v>1129</v>
      </c>
      <c r="E1300" s="1" t="s">
        <v>1985</v>
      </c>
      <c r="F1300" s="3">
        <v>1</v>
      </c>
      <c r="G1300" s="8" t="s">
        <v>2771</v>
      </c>
      <c r="H1300" s="8" t="s">
        <v>5161</v>
      </c>
      <c r="I1300" s="3">
        <v>27</v>
      </c>
      <c r="J1300" s="3" t="s">
        <v>5545</v>
      </c>
      <c r="K1300" s="17" t="str">
        <f>HYPERLINK("http://ictvonline.org/taxonomyHistory.asp?taxnode_id=20171539","ICTVonline=20171539")</f>
        <v>ICTVonline=20171539</v>
      </c>
      <c r="L1300" s="3">
        <v>1299</v>
      </c>
    </row>
    <row r="1301" spans="1:12" x14ac:dyDescent="0.15">
      <c r="A1301" s="1" t="s">
        <v>2176</v>
      </c>
      <c r="B1301" s="1" t="s">
        <v>1641</v>
      </c>
      <c r="D1301" s="1" t="s">
        <v>1986</v>
      </c>
      <c r="E1301" s="1" t="s">
        <v>1987</v>
      </c>
      <c r="F1301" s="3">
        <v>1</v>
      </c>
      <c r="G1301" s="8" t="s">
        <v>2771</v>
      </c>
      <c r="H1301" s="8" t="s">
        <v>5161</v>
      </c>
      <c r="I1301" s="3">
        <v>27</v>
      </c>
      <c r="J1301" s="3" t="s">
        <v>5545</v>
      </c>
      <c r="K1301" s="17" t="str">
        <f>HYPERLINK("http://ictvonline.org/taxonomyHistory.asp?taxnode_id=20171541","ICTVonline=20171541")</f>
        <v>ICTVonline=20171541</v>
      </c>
      <c r="L1301" s="3">
        <v>1300</v>
      </c>
    </row>
    <row r="1302" spans="1:12" x14ac:dyDescent="0.15">
      <c r="A1302" s="1" t="s">
        <v>2176</v>
      </c>
      <c r="B1302" s="1" t="s">
        <v>1305</v>
      </c>
      <c r="D1302" s="1" t="s">
        <v>1306</v>
      </c>
      <c r="E1302" s="1" t="s">
        <v>1910</v>
      </c>
      <c r="F1302" s="3">
        <v>0</v>
      </c>
      <c r="G1302" s="8" t="s">
        <v>2771</v>
      </c>
      <c r="H1302" s="8" t="s">
        <v>5161</v>
      </c>
      <c r="I1302" s="3">
        <v>27</v>
      </c>
      <c r="J1302" s="3" t="s">
        <v>5545</v>
      </c>
      <c r="K1302" s="17" t="str">
        <f>HYPERLINK("http://ictvonline.org/taxonomyHistory.asp?taxnode_id=20171545","ICTVonline=20171545")</f>
        <v>ICTVonline=20171545</v>
      </c>
      <c r="L1302" s="3">
        <v>1301</v>
      </c>
    </row>
    <row r="1303" spans="1:12" x14ac:dyDescent="0.15">
      <c r="A1303" s="1" t="s">
        <v>2176</v>
      </c>
      <c r="B1303" s="1" t="s">
        <v>1305</v>
      </c>
      <c r="D1303" s="1" t="s">
        <v>1306</v>
      </c>
      <c r="E1303" s="1" t="s">
        <v>1911</v>
      </c>
      <c r="F1303" s="3">
        <v>0</v>
      </c>
      <c r="G1303" s="8" t="s">
        <v>2771</v>
      </c>
      <c r="H1303" s="8" t="s">
        <v>5161</v>
      </c>
      <c r="I1303" s="3">
        <v>27</v>
      </c>
      <c r="J1303" s="3" t="s">
        <v>5545</v>
      </c>
      <c r="K1303" s="17" t="str">
        <f>HYPERLINK("http://ictvonline.org/taxonomyHistory.asp?taxnode_id=20171546","ICTVonline=20171546")</f>
        <v>ICTVonline=20171546</v>
      </c>
      <c r="L1303" s="3">
        <v>1302</v>
      </c>
    </row>
    <row r="1304" spans="1:12" x14ac:dyDescent="0.15">
      <c r="A1304" s="1" t="s">
        <v>2176</v>
      </c>
      <c r="B1304" s="1" t="s">
        <v>1305</v>
      </c>
      <c r="D1304" s="1" t="s">
        <v>1306</v>
      </c>
      <c r="E1304" s="1" t="s">
        <v>1601</v>
      </c>
      <c r="F1304" s="3">
        <v>1</v>
      </c>
      <c r="G1304" s="8" t="s">
        <v>2771</v>
      </c>
      <c r="H1304" s="8" t="s">
        <v>5161</v>
      </c>
      <c r="I1304" s="3">
        <v>27</v>
      </c>
      <c r="J1304" s="3" t="s">
        <v>5545</v>
      </c>
      <c r="K1304" s="17" t="str">
        <f>HYPERLINK("http://ictvonline.org/taxonomyHistory.asp?taxnode_id=20171547","ICTVonline=20171547")</f>
        <v>ICTVonline=20171547</v>
      </c>
      <c r="L1304" s="3">
        <v>1303</v>
      </c>
    </row>
    <row r="1305" spans="1:12" x14ac:dyDescent="0.15">
      <c r="A1305" s="1" t="s">
        <v>1009</v>
      </c>
      <c r="B1305" s="1" t="s">
        <v>1414</v>
      </c>
      <c r="D1305" s="1" t="s">
        <v>5546</v>
      </c>
      <c r="E1305" s="1" t="s">
        <v>5547</v>
      </c>
      <c r="F1305" s="3">
        <v>1</v>
      </c>
      <c r="G1305" s="8" t="s">
        <v>2772</v>
      </c>
      <c r="H1305" s="8" t="s">
        <v>5159</v>
      </c>
      <c r="I1305" s="3">
        <v>32</v>
      </c>
      <c r="J1305" s="3" t="s">
        <v>5548</v>
      </c>
      <c r="K1305" s="17" t="str">
        <f>HYPERLINK("http://ictvonline.org/taxonomyHistory.asp?taxnode_id=20175571","ICTVonline=20175571")</f>
        <v>ICTVonline=20175571</v>
      </c>
      <c r="L1305" s="3">
        <v>1304</v>
      </c>
    </row>
    <row r="1306" spans="1:12" x14ac:dyDescent="0.15">
      <c r="A1306" s="1" t="s">
        <v>1009</v>
      </c>
      <c r="B1306" s="1" t="s">
        <v>1414</v>
      </c>
      <c r="D1306" s="1" t="s">
        <v>5546</v>
      </c>
      <c r="E1306" s="1" t="s">
        <v>5549</v>
      </c>
      <c r="F1306" s="3">
        <v>0</v>
      </c>
      <c r="G1306" s="8" t="s">
        <v>2772</v>
      </c>
      <c r="H1306" s="8" t="s">
        <v>5159</v>
      </c>
      <c r="I1306" s="3">
        <v>32</v>
      </c>
      <c r="J1306" s="3" t="s">
        <v>5548</v>
      </c>
      <c r="K1306" s="17" t="str">
        <f>HYPERLINK("http://ictvonline.org/taxonomyHistory.asp?taxnode_id=20175572","ICTVonline=20175572")</f>
        <v>ICTVonline=20175572</v>
      </c>
      <c r="L1306" s="3">
        <v>1305</v>
      </c>
    </row>
    <row r="1307" spans="1:12" x14ac:dyDescent="0.15">
      <c r="A1307" s="1" t="s">
        <v>1009</v>
      </c>
      <c r="B1307" s="1" t="s">
        <v>1414</v>
      </c>
      <c r="D1307" s="1" t="s">
        <v>5550</v>
      </c>
      <c r="E1307" s="1" t="s">
        <v>5551</v>
      </c>
      <c r="F1307" s="3">
        <v>0</v>
      </c>
      <c r="G1307" s="8" t="s">
        <v>2772</v>
      </c>
      <c r="H1307" s="8" t="s">
        <v>5160</v>
      </c>
      <c r="I1307" s="3">
        <v>32</v>
      </c>
      <c r="J1307" s="3" t="s">
        <v>5552</v>
      </c>
      <c r="K1307" s="17" t="str">
        <f>HYPERLINK("http://ictvonline.org/taxonomyHistory.asp?taxnode_id=20171552","ICTVonline=20171552")</f>
        <v>ICTVonline=20171552</v>
      </c>
      <c r="L1307" s="3">
        <v>1306</v>
      </c>
    </row>
    <row r="1308" spans="1:12" x14ac:dyDescent="0.15">
      <c r="A1308" s="1" t="s">
        <v>1009</v>
      </c>
      <c r="B1308" s="1" t="s">
        <v>1414</v>
      </c>
      <c r="D1308" s="1" t="s">
        <v>5550</v>
      </c>
      <c r="E1308" s="1" t="s">
        <v>5553</v>
      </c>
      <c r="F1308" s="3">
        <v>1</v>
      </c>
      <c r="G1308" s="8" t="s">
        <v>2772</v>
      </c>
      <c r="H1308" s="8" t="s">
        <v>5160</v>
      </c>
      <c r="I1308" s="3">
        <v>32</v>
      </c>
      <c r="J1308" s="3" t="s">
        <v>5552</v>
      </c>
      <c r="K1308" s="17" t="str">
        <f>HYPERLINK("http://ictvonline.org/taxonomyHistory.asp?taxnode_id=20171553","ICTVonline=20171553")</f>
        <v>ICTVonline=20171553</v>
      </c>
      <c r="L1308" s="3">
        <v>1307</v>
      </c>
    </row>
    <row r="1309" spans="1:12" x14ac:dyDescent="0.15">
      <c r="A1309" s="1" t="s">
        <v>1009</v>
      </c>
      <c r="B1309" s="1" t="s">
        <v>1414</v>
      </c>
      <c r="D1309" s="1" t="s">
        <v>5550</v>
      </c>
      <c r="E1309" s="1" t="s">
        <v>5554</v>
      </c>
      <c r="F1309" s="3">
        <v>0</v>
      </c>
      <c r="G1309" s="8" t="s">
        <v>2772</v>
      </c>
      <c r="H1309" s="8" t="s">
        <v>5160</v>
      </c>
      <c r="I1309" s="3">
        <v>32</v>
      </c>
      <c r="J1309" s="3" t="s">
        <v>5552</v>
      </c>
      <c r="K1309" s="17" t="str">
        <f>HYPERLINK("http://ictvonline.org/taxonomyHistory.asp?taxnode_id=20171554","ICTVonline=20171554")</f>
        <v>ICTVonline=20171554</v>
      </c>
      <c r="L1309" s="3">
        <v>1308</v>
      </c>
    </row>
    <row r="1310" spans="1:12" x14ac:dyDescent="0.15">
      <c r="A1310" s="1" t="s">
        <v>1009</v>
      </c>
      <c r="B1310" s="1" t="s">
        <v>1414</v>
      </c>
      <c r="D1310" s="1" t="s">
        <v>5550</v>
      </c>
      <c r="E1310" s="1" t="s">
        <v>5555</v>
      </c>
      <c r="F1310" s="3">
        <v>0</v>
      </c>
      <c r="G1310" s="8" t="s">
        <v>2772</v>
      </c>
      <c r="H1310" s="8" t="s">
        <v>5160</v>
      </c>
      <c r="I1310" s="3">
        <v>32</v>
      </c>
      <c r="J1310" s="3" t="s">
        <v>5552</v>
      </c>
      <c r="K1310" s="17" t="str">
        <f>HYPERLINK("http://ictvonline.org/taxonomyHistory.asp?taxnode_id=20171555","ICTVonline=20171555")</f>
        <v>ICTVonline=20171555</v>
      </c>
      <c r="L1310" s="3">
        <v>1309</v>
      </c>
    </row>
    <row r="1311" spans="1:12" x14ac:dyDescent="0.15">
      <c r="A1311" s="1" t="s">
        <v>1009</v>
      </c>
      <c r="B1311" s="1" t="s">
        <v>1414</v>
      </c>
      <c r="D1311" s="1" t="s">
        <v>5550</v>
      </c>
      <c r="E1311" s="1" t="s">
        <v>5556</v>
      </c>
      <c r="F1311" s="3">
        <v>0</v>
      </c>
      <c r="G1311" s="8" t="s">
        <v>2772</v>
      </c>
      <c r="H1311" s="8" t="s">
        <v>5160</v>
      </c>
      <c r="I1311" s="3">
        <v>32</v>
      </c>
      <c r="J1311" s="3" t="s">
        <v>5552</v>
      </c>
      <c r="K1311" s="17" t="str">
        <f>HYPERLINK("http://ictvonline.org/taxonomyHistory.asp?taxnode_id=20171556","ICTVonline=20171556")</f>
        <v>ICTVonline=20171556</v>
      </c>
      <c r="L1311" s="3">
        <v>1310</v>
      </c>
    </row>
    <row r="1312" spans="1:12" x14ac:dyDescent="0.15">
      <c r="A1312" s="1" t="s">
        <v>1009</v>
      </c>
      <c r="B1312" s="1" t="s">
        <v>1414</v>
      </c>
      <c r="D1312" s="1" t="s">
        <v>5550</v>
      </c>
      <c r="E1312" s="1" t="s">
        <v>5557</v>
      </c>
      <c r="F1312" s="3">
        <v>0</v>
      </c>
      <c r="G1312" s="8" t="s">
        <v>2772</v>
      </c>
      <c r="H1312" s="8" t="s">
        <v>5160</v>
      </c>
      <c r="I1312" s="3">
        <v>32</v>
      </c>
      <c r="J1312" s="3" t="s">
        <v>5552</v>
      </c>
      <c r="K1312" s="17" t="str">
        <f>HYPERLINK("http://ictvonline.org/taxonomyHistory.asp?taxnode_id=20171557","ICTVonline=20171557")</f>
        <v>ICTVonline=20171557</v>
      </c>
      <c r="L1312" s="3">
        <v>1311</v>
      </c>
    </row>
    <row r="1313" spans="1:12" x14ac:dyDescent="0.15">
      <c r="A1313" s="1" t="s">
        <v>1009</v>
      </c>
      <c r="B1313" s="1" t="s">
        <v>1414</v>
      </c>
      <c r="D1313" s="1" t="s">
        <v>5550</v>
      </c>
      <c r="E1313" s="1" t="s">
        <v>5558</v>
      </c>
      <c r="F1313" s="3">
        <v>0</v>
      </c>
      <c r="G1313" s="8" t="s">
        <v>2772</v>
      </c>
      <c r="H1313" s="8" t="s">
        <v>5160</v>
      </c>
      <c r="I1313" s="3">
        <v>32</v>
      </c>
      <c r="J1313" s="3" t="s">
        <v>5552</v>
      </c>
      <c r="K1313" s="17" t="str">
        <f>HYPERLINK("http://ictvonline.org/taxonomyHistory.asp?taxnode_id=20171558","ICTVonline=20171558")</f>
        <v>ICTVonline=20171558</v>
      </c>
      <c r="L1313" s="3">
        <v>1312</v>
      </c>
    </row>
    <row r="1314" spans="1:12" x14ac:dyDescent="0.15">
      <c r="A1314" s="1" t="s">
        <v>1009</v>
      </c>
      <c r="B1314" s="1" t="s">
        <v>1414</v>
      </c>
      <c r="D1314" s="1" t="s">
        <v>5550</v>
      </c>
      <c r="E1314" s="1" t="s">
        <v>5559</v>
      </c>
      <c r="F1314" s="3">
        <v>0</v>
      </c>
      <c r="G1314" s="8" t="s">
        <v>2772</v>
      </c>
      <c r="H1314" s="8" t="s">
        <v>5160</v>
      </c>
      <c r="I1314" s="3">
        <v>32</v>
      </c>
      <c r="J1314" s="3" t="s">
        <v>5552</v>
      </c>
      <c r="K1314" s="17" t="str">
        <f>HYPERLINK("http://ictvonline.org/taxonomyHistory.asp?taxnode_id=20171559","ICTVonline=20171559")</f>
        <v>ICTVonline=20171559</v>
      </c>
      <c r="L1314" s="3">
        <v>1313</v>
      </c>
    </row>
    <row r="1315" spans="1:12" x14ac:dyDescent="0.15">
      <c r="A1315" s="1" t="s">
        <v>1009</v>
      </c>
      <c r="B1315" s="1" t="s">
        <v>1415</v>
      </c>
      <c r="D1315" s="1" t="s">
        <v>2311</v>
      </c>
      <c r="E1315" s="1" t="s">
        <v>2312</v>
      </c>
      <c r="F1315" s="3">
        <v>1</v>
      </c>
      <c r="G1315" s="8" t="s">
        <v>2772</v>
      </c>
      <c r="H1315" s="8" t="s">
        <v>5159</v>
      </c>
      <c r="I1315" s="3">
        <v>28</v>
      </c>
      <c r="J1315" s="3" t="s">
        <v>5560</v>
      </c>
      <c r="K1315" s="17" t="str">
        <f>HYPERLINK("http://ictvonline.org/taxonomyHistory.asp?taxnode_id=20171563","ICTVonline=20171563")</f>
        <v>ICTVonline=20171563</v>
      </c>
      <c r="L1315" s="3">
        <v>1314</v>
      </c>
    </row>
    <row r="1316" spans="1:12" x14ac:dyDescent="0.15">
      <c r="A1316" s="1" t="s">
        <v>1009</v>
      </c>
      <c r="B1316" s="1" t="s">
        <v>1415</v>
      </c>
      <c r="D1316" s="1" t="s">
        <v>1416</v>
      </c>
      <c r="E1316" s="1" t="s">
        <v>1354</v>
      </c>
      <c r="F1316" s="3">
        <v>0</v>
      </c>
      <c r="G1316" s="8" t="s">
        <v>2772</v>
      </c>
      <c r="H1316" s="8" t="s">
        <v>5159</v>
      </c>
      <c r="I1316" s="3">
        <v>26</v>
      </c>
      <c r="J1316" s="3" t="s">
        <v>5561</v>
      </c>
      <c r="K1316" s="17" t="str">
        <f>HYPERLINK("http://ictvonline.org/taxonomyHistory.asp?taxnode_id=20171565","ICTVonline=20171565")</f>
        <v>ICTVonline=20171565</v>
      </c>
      <c r="L1316" s="3">
        <v>1315</v>
      </c>
    </row>
    <row r="1317" spans="1:12" x14ac:dyDescent="0.15">
      <c r="A1317" s="1" t="s">
        <v>1009</v>
      </c>
      <c r="B1317" s="1" t="s">
        <v>1415</v>
      </c>
      <c r="D1317" s="1" t="s">
        <v>1416</v>
      </c>
      <c r="E1317" s="1" t="s">
        <v>1417</v>
      </c>
      <c r="F1317" s="3">
        <v>0</v>
      </c>
      <c r="G1317" s="8" t="s">
        <v>2772</v>
      </c>
      <c r="H1317" s="8" t="s">
        <v>5160</v>
      </c>
      <c r="I1317" s="3">
        <v>21</v>
      </c>
      <c r="J1317" s="3" t="s">
        <v>5562</v>
      </c>
      <c r="K1317" s="17" t="str">
        <f>HYPERLINK("http://ictvonline.org/taxonomyHistory.asp?taxnode_id=20171566","ICTVonline=20171566")</f>
        <v>ICTVonline=20171566</v>
      </c>
      <c r="L1317" s="3">
        <v>1316</v>
      </c>
    </row>
    <row r="1318" spans="1:12" x14ac:dyDescent="0.15">
      <c r="A1318" s="1" t="s">
        <v>1009</v>
      </c>
      <c r="B1318" s="1" t="s">
        <v>1415</v>
      </c>
      <c r="D1318" s="1" t="s">
        <v>1416</v>
      </c>
      <c r="E1318" s="1" t="s">
        <v>1418</v>
      </c>
      <c r="F1318" s="3">
        <v>0</v>
      </c>
      <c r="G1318" s="8" t="s">
        <v>2772</v>
      </c>
      <c r="H1318" s="8" t="s">
        <v>5160</v>
      </c>
      <c r="I1318" s="3">
        <v>21</v>
      </c>
      <c r="J1318" s="3" t="s">
        <v>5562</v>
      </c>
      <c r="K1318" s="17" t="str">
        <f>HYPERLINK("http://ictvonline.org/taxonomyHistory.asp?taxnode_id=20171567","ICTVonline=20171567")</f>
        <v>ICTVonline=20171567</v>
      </c>
      <c r="L1318" s="3">
        <v>1317</v>
      </c>
    </row>
    <row r="1319" spans="1:12" x14ac:dyDescent="0.15">
      <c r="A1319" s="1" t="s">
        <v>1009</v>
      </c>
      <c r="B1319" s="1" t="s">
        <v>1415</v>
      </c>
      <c r="D1319" s="1" t="s">
        <v>1416</v>
      </c>
      <c r="E1319" s="1" t="s">
        <v>5563</v>
      </c>
      <c r="F1319" s="3">
        <v>0</v>
      </c>
      <c r="G1319" s="8" t="s">
        <v>2772</v>
      </c>
      <c r="H1319" s="8" t="s">
        <v>5162</v>
      </c>
      <c r="I1319" s="3">
        <v>32</v>
      </c>
      <c r="J1319" s="3" t="s">
        <v>5564</v>
      </c>
      <c r="K1319" s="17" t="str">
        <f>HYPERLINK("http://ictvonline.org/taxonomyHistory.asp?taxnode_id=20171568","ICTVonline=20171568")</f>
        <v>ICTVonline=20171568</v>
      </c>
      <c r="L1319" s="3">
        <v>1318</v>
      </c>
    </row>
    <row r="1320" spans="1:12" x14ac:dyDescent="0.15">
      <c r="A1320" s="1" t="s">
        <v>1009</v>
      </c>
      <c r="B1320" s="1" t="s">
        <v>1415</v>
      </c>
      <c r="D1320" s="1" t="s">
        <v>1416</v>
      </c>
      <c r="E1320" s="1" t="s">
        <v>1419</v>
      </c>
      <c r="F1320" s="3">
        <v>1</v>
      </c>
      <c r="G1320" s="8" t="s">
        <v>2772</v>
      </c>
      <c r="H1320" s="8" t="s">
        <v>5160</v>
      </c>
      <c r="I1320" s="3">
        <v>21</v>
      </c>
      <c r="J1320" s="3" t="s">
        <v>5562</v>
      </c>
      <c r="K1320" s="17" t="str">
        <f>HYPERLINK("http://ictvonline.org/taxonomyHistory.asp?taxnode_id=20171569","ICTVonline=20171569")</f>
        <v>ICTVonline=20171569</v>
      </c>
      <c r="L1320" s="3">
        <v>1319</v>
      </c>
    </row>
    <row r="1321" spans="1:12" x14ac:dyDescent="0.15">
      <c r="A1321" s="1" t="s">
        <v>1009</v>
      </c>
      <c r="B1321" s="1" t="s">
        <v>1415</v>
      </c>
      <c r="D1321" s="1" t="s">
        <v>1420</v>
      </c>
      <c r="E1321" s="1" t="s">
        <v>1355</v>
      </c>
      <c r="F1321" s="3">
        <v>1</v>
      </c>
      <c r="G1321" s="8" t="s">
        <v>2772</v>
      </c>
      <c r="H1321" s="8" t="s">
        <v>5162</v>
      </c>
      <c r="I1321" s="3">
        <v>26</v>
      </c>
      <c r="J1321" s="3" t="s">
        <v>5565</v>
      </c>
      <c r="K1321" s="17" t="str">
        <f>HYPERLINK("http://ictvonline.org/taxonomyHistory.asp?taxnode_id=20171571","ICTVonline=20171571")</f>
        <v>ICTVonline=20171571</v>
      </c>
      <c r="L1321" s="3">
        <v>1320</v>
      </c>
    </row>
    <row r="1322" spans="1:12" x14ac:dyDescent="0.15">
      <c r="A1322" s="1" t="s">
        <v>1009</v>
      </c>
      <c r="B1322" s="1" t="s">
        <v>3664</v>
      </c>
      <c r="D1322" s="1" t="s">
        <v>3665</v>
      </c>
      <c r="E1322" s="1" t="s">
        <v>3666</v>
      </c>
      <c r="F1322" s="3">
        <v>1</v>
      </c>
      <c r="G1322" s="8" t="s">
        <v>2772</v>
      </c>
      <c r="H1322" s="8" t="s">
        <v>5159</v>
      </c>
      <c r="I1322" s="3">
        <v>30</v>
      </c>
      <c r="J1322" s="3" t="s">
        <v>5566</v>
      </c>
      <c r="K1322" s="17" t="str">
        <f>HYPERLINK("http://ictvonline.org/taxonomyHistory.asp?taxnode_id=20171575","ICTVonline=20171575")</f>
        <v>ICTVonline=20171575</v>
      </c>
      <c r="L1322" s="3">
        <v>1321</v>
      </c>
    </row>
    <row r="1323" spans="1:12" x14ac:dyDescent="0.15">
      <c r="A1323" s="1" t="s">
        <v>1009</v>
      </c>
      <c r="B1323" s="1" t="s">
        <v>2313</v>
      </c>
      <c r="D1323" s="1" t="s">
        <v>2314</v>
      </c>
      <c r="E1323" s="1" t="s">
        <v>2315</v>
      </c>
      <c r="F1323" s="3">
        <v>0</v>
      </c>
      <c r="G1323" s="8" t="s">
        <v>2772</v>
      </c>
      <c r="H1323" s="8" t="s">
        <v>5159</v>
      </c>
      <c r="I1323" s="3">
        <v>28</v>
      </c>
      <c r="J1323" s="3" t="s">
        <v>5567</v>
      </c>
      <c r="K1323" s="17" t="str">
        <f>HYPERLINK("http://ictvonline.org/taxonomyHistory.asp?taxnode_id=20171579","ICTVonline=20171579")</f>
        <v>ICTVonline=20171579</v>
      </c>
      <c r="L1323" s="3">
        <v>1322</v>
      </c>
    </row>
    <row r="1324" spans="1:12" x14ac:dyDescent="0.15">
      <c r="A1324" s="1" t="s">
        <v>1009</v>
      </c>
      <c r="B1324" s="1" t="s">
        <v>2313</v>
      </c>
      <c r="D1324" s="1" t="s">
        <v>2314</v>
      </c>
      <c r="E1324" s="1" t="s">
        <v>2316</v>
      </c>
      <c r="F1324" s="3">
        <v>1</v>
      </c>
      <c r="G1324" s="8" t="s">
        <v>2772</v>
      </c>
      <c r="H1324" s="8" t="s">
        <v>5159</v>
      </c>
      <c r="I1324" s="3">
        <v>28</v>
      </c>
      <c r="J1324" s="3" t="s">
        <v>5567</v>
      </c>
      <c r="K1324" s="17" t="str">
        <f>HYPERLINK("http://ictvonline.org/taxonomyHistory.asp?taxnode_id=20171580","ICTVonline=20171580")</f>
        <v>ICTVonline=20171580</v>
      </c>
      <c r="L1324" s="3">
        <v>1323</v>
      </c>
    </row>
    <row r="1325" spans="1:12" x14ac:dyDescent="0.15">
      <c r="A1325" s="1" t="s">
        <v>1009</v>
      </c>
      <c r="B1325" s="1" t="s">
        <v>2313</v>
      </c>
      <c r="D1325" s="1" t="s">
        <v>2314</v>
      </c>
      <c r="E1325" s="1" t="s">
        <v>2651</v>
      </c>
      <c r="F1325" s="3">
        <v>0</v>
      </c>
      <c r="G1325" s="8" t="s">
        <v>2772</v>
      </c>
      <c r="H1325" s="8" t="s">
        <v>5159</v>
      </c>
      <c r="I1325" s="3">
        <v>29</v>
      </c>
      <c r="J1325" s="3" t="s">
        <v>5568</v>
      </c>
      <c r="K1325" s="17" t="str">
        <f>HYPERLINK("http://ictvonline.org/taxonomyHistory.asp?taxnode_id=20171581","ICTVonline=20171581")</f>
        <v>ICTVonline=20171581</v>
      </c>
      <c r="L1325" s="3">
        <v>1324</v>
      </c>
    </row>
    <row r="1326" spans="1:12" x14ac:dyDescent="0.15">
      <c r="A1326" s="1" t="s">
        <v>1009</v>
      </c>
      <c r="B1326" s="1" t="s">
        <v>2313</v>
      </c>
      <c r="D1326" s="1" t="s">
        <v>4732</v>
      </c>
      <c r="E1326" s="1" t="s">
        <v>4733</v>
      </c>
      <c r="F1326" s="3">
        <v>1</v>
      </c>
      <c r="G1326" s="8" t="s">
        <v>2772</v>
      </c>
      <c r="H1326" s="8" t="s">
        <v>5159</v>
      </c>
      <c r="I1326" s="3">
        <v>31</v>
      </c>
      <c r="J1326" s="3" t="s">
        <v>5569</v>
      </c>
      <c r="K1326" s="17" t="str">
        <f>HYPERLINK("http://ictvonline.org/taxonomyHistory.asp?taxnode_id=20171583","ICTVonline=20171583")</f>
        <v>ICTVonline=20171583</v>
      </c>
      <c r="L1326" s="3">
        <v>1325</v>
      </c>
    </row>
    <row r="1327" spans="1:12" x14ac:dyDescent="0.15">
      <c r="A1327" s="1" t="s">
        <v>1009</v>
      </c>
      <c r="B1327" s="1" t="s">
        <v>2313</v>
      </c>
      <c r="D1327" s="1" t="s">
        <v>3667</v>
      </c>
      <c r="E1327" s="1" t="s">
        <v>3668</v>
      </c>
      <c r="F1327" s="3">
        <v>1</v>
      </c>
      <c r="G1327" s="8" t="s">
        <v>2772</v>
      </c>
      <c r="H1327" s="8" t="s">
        <v>5160</v>
      </c>
      <c r="I1327" s="3">
        <v>30</v>
      </c>
      <c r="J1327" s="3" t="s">
        <v>5570</v>
      </c>
      <c r="K1327" s="17" t="str">
        <f>HYPERLINK("http://ictvonline.org/taxonomyHistory.asp?taxnode_id=20171585","ICTVonline=20171585")</f>
        <v>ICTVonline=20171585</v>
      </c>
      <c r="L1327" s="3">
        <v>1326</v>
      </c>
    </row>
    <row r="1328" spans="1:12" x14ac:dyDescent="0.15">
      <c r="A1328" s="1" t="s">
        <v>1009</v>
      </c>
      <c r="B1328" s="1" t="s">
        <v>1421</v>
      </c>
      <c r="D1328" s="1" t="s">
        <v>1356</v>
      </c>
      <c r="E1328" s="1" t="s">
        <v>5180</v>
      </c>
      <c r="F1328" s="3">
        <v>1</v>
      </c>
      <c r="G1328" s="8" t="s">
        <v>2772</v>
      </c>
      <c r="H1328" s="8" t="s">
        <v>5162</v>
      </c>
      <c r="I1328" s="3">
        <v>31</v>
      </c>
      <c r="J1328" s="3" t="s">
        <v>5571</v>
      </c>
      <c r="K1328" s="17" t="str">
        <f>HYPERLINK("http://ictvonline.org/taxonomyHistory.asp?taxnode_id=20171589","ICTVonline=20171589")</f>
        <v>ICTVonline=20171589</v>
      </c>
      <c r="L1328" s="3">
        <v>1327</v>
      </c>
    </row>
    <row r="1329" spans="1:12" x14ac:dyDescent="0.15">
      <c r="A1329" s="1" t="s">
        <v>1009</v>
      </c>
      <c r="B1329" s="1" t="s">
        <v>1421</v>
      </c>
      <c r="D1329" s="1" t="s">
        <v>1422</v>
      </c>
      <c r="E1329" s="1" t="s">
        <v>5181</v>
      </c>
      <c r="F1329" s="3">
        <v>1</v>
      </c>
      <c r="G1329" s="8" t="s">
        <v>2772</v>
      </c>
      <c r="H1329" s="8" t="s">
        <v>5162</v>
      </c>
      <c r="I1329" s="3">
        <v>31</v>
      </c>
      <c r="J1329" s="3" t="s">
        <v>5572</v>
      </c>
      <c r="K1329" s="17" t="str">
        <f>HYPERLINK("http://ictvonline.org/taxonomyHistory.asp?taxnode_id=20171591","ICTVonline=20171591")</f>
        <v>ICTVonline=20171591</v>
      </c>
      <c r="L1329" s="3">
        <v>1328</v>
      </c>
    </row>
    <row r="1330" spans="1:12" x14ac:dyDescent="0.15">
      <c r="A1330" s="1" t="s">
        <v>1009</v>
      </c>
      <c r="B1330" s="1" t="s">
        <v>1421</v>
      </c>
      <c r="D1330" s="1" t="s">
        <v>1422</v>
      </c>
      <c r="E1330" s="1" t="s">
        <v>5182</v>
      </c>
      <c r="F1330" s="3">
        <v>0</v>
      </c>
      <c r="G1330" s="8" t="s">
        <v>2772</v>
      </c>
      <c r="H1330" s="8" t="s">
        <v>5162</v>
      </c>
      <c r="I1330" s="3">
        <v>31</v>
      </c>
      <c r="J1330" s="3" t="s">
        <v>5572</v>
      </c>
      <c r="K1330" s="17" t="str">
        <f>HYPERLINK("http://ictvonline.org/taxonomyHistory.asp?taxnode_id=20171592","ICTVonline=20171592")</f>
        <v>ICTVonline=20171592</v>
      </c>
      <c r="L1330" s="3">
        <v>1329</v>
      </c>
    </row>
    <row r="1331" spans="1:12" x14ac:dyDescent="0.15">
      <c r="A1331" s="1" t="s">
        <v>1009</v>
      </c>
      <c r="B1331" s="1" t="s">
        <v>1421</v>
      </c>
      <c r="D1331" s="1" t="s">
        <v>1422</v>
      </c>
      <c r="E1331" s="1" t="s">
        <v>5183</v>
      </c>
      <c r="F1331" s="3">
        <v>0</v>
      </c>
      <c r="G1331" s="8" t="s">
        <v>2772</v>
      </c>
      <c r="H1331" s="8" t="s">
        <v>5162</v>
      </c>
      <c r="I1331" s="3">
        <v>31</v>
      </c>
      <c r="J1331" s="3" t="s">
        <v>5572</v>
      </c>
      <c r="K1331" s="17" t="str">
        <f>HYPERLINK("http://ictvonline.org/taxonomyHistory.asp?taxnode_id=20171593","ICTVonline=20171593")</f>
        <v>ICTVonline=20171593</v>
      </c>
      <c r="L1331" s="3">
        <v>1330</v>
      </c>
    </row>
    <row r="1332" spans="1:12" x14ac:dyDescent="0.15">
      <c r="A1332" s="1" t="s">
        <v>1009</v>
      </c>
      <c r="B1332" s="1" t="s">
        <v>1421</v>
      </c>
      <c r="D1332" s="1" t="s">
        <v>1422</v>
      </c>
      <c r="E1332" s="1" t="s">
        <v>5184</v>
      </c>
      <c r="F1332" s="3">
        <v>0</v>
      </c>
      <c r="G1332" s="8" t="s">
        <v>2772</v>
      </c>
      <c r="H1332" s="8" t="s">
        <v>5162</v>
      </c>
      <c r="I1332" s="3">
        <v>31</v>
      </c>
      <c r="J1332" s="3" t="s">
        <v>5572</v>
      </c>
      <c r="K1332" s="17" t="str">
        <f>HYPERLINK("http://ictvonline.org/taxonomyHistory.asp?taxnode_id=20171594","ICTVonline=20171594")</f>
        <v>ICTVonline=20171594</v>
      </c>
      <c r="L1332" s="3">
        <v>1331</v>
      </c>
    </row>
    <row r="1333" spans="1:12" x14ac:dyDescent="0.15">
      <c r="A1333" s="1" t="s">
        <v>1009</v>
      </c>
      <c r="B1333" s="1" t="s">
        <v>1421</v>
      </c>
      <c r="D1333" s="1" t="s">
        <v>1422</v>
      </c>
      <c r="E1333" s="1" t="s">
        <v>5185</v>
      </c>
      <c r="F1333" s="3">
        <v>0</v>
      </c>
      <c r="G1333" s="8" t="s">
        <v>2772</v>
      </c>
      <c r="H1333" s="8" t="s">
        <v>5162</v>
      </c>
      <c r="I1333" s="3">
        <v>31</v>
      </c>
      <c r="J1333" s="3" t="s">
        <v>5572</v>
      </c>
      <c r="K1333" s="17" t="str">
        <f>HYPERLINK("http://ictvonline.org/taxonomyHistory.asp?taxnode_id=20171595","ICTVonline=20171595")</f>
        <v>ICTVonline=20171595</v>
      </c>
      <c r="L1333" s="3">
        <v>1332</v>
      </c>
    </row>
    <row r="1334" spans="1:12" x14ac:dyDescent="0.15">
      <c r="A1334" s="1" t="s">
        <v>1009</v>
      </c>
      <c r="B1334" s="1" t="s">
        <v>1421</v>
      </c>
      <c r="D1334" s="1" t="s">
        <v>1422</v>
      </c>
      <c r="E1334" s="1" t="s">
        <v>5186</v>
      </c>
      <c r="F1334" s="3">
        <v>0</v>
      </c>
      <c r="G1334" s="8" t="s">
        <v>2772</v>
      </c>
      <c r="H1334" s="8" t="s">
        <v>5162</v>
      </c>
      <c r="I1334" s="3">
        <v>31</v>
      </c>
      <c r="J1334" s="3" t="s">
        <v>5572</v>
      </c>
      <c r="K1334" s="17" t="str">
        <f>HYPERLINK("http://ictvonline.org/taxonomyHistory.asp?taxnode_id=20171596","ICTVonline=20171596")</f>
        <v>ICTVonline=20171596</v>
      </c>
      <c r="L1334" s="3">
        <v>1333</v>
      </c>
    </row>
    <row r="1335" spans="1:12" x14ac:dyDescent="0.15">
      <c r="A1335" s="1" t="s">
        <v>1009</v>
      </c>
      <c r="B1335" s="1" t="s">
        <v>1421</v>
      </c>
      <c r="D1335" s="1" t="s">
        <v>1422</v>
      </c>
      <c r="E1335" s="1" t="s">
        <v>5187</v>
      </c>
      <c r="F1335" s="3">
        <v>0</v>
      </c>
      <c r="G1335" s="8" t="s">
        <v>2772</v>
      </c>
      <c r="H1335" s="8" t="s">
        <v>5162</v>
      </c>
      <c r="I1335" s="3">
        <v>31</v>
      </c>
      <c r="J1335" s="3" t="s">
        <v>5572</v>
      </c>
      <c r="K1335" s="17" t="str">
        <f>HYPERLINK("http://ictvonline.org/taxonomyHistory.asp?taxnode_id=20171597","ICTVonline=20171597")</f>
        <v>ICTVonline=20171597</v>
      </c>
      <c r="L1335" s="3">
        <v>1334</v>
      </c>
    </row>
    <row r="1336" spans="1:12" x14ac:dyDescent="0.15">
      <c r="A1336" s="1" t="s">
        <v>1009</v>
      </c>
      <c r="B1336" s="1" t="s">
        <v>1421</v>
      </c>
      <c r="D1336" s="1" t="s">
        <v>1422</v>
      </c>
      <c r="E1336" s="1" t="s">
        <v>5188</v>
      </c>
      <c r="F1336" s="3">
        <v>0</v>
      </c>
      <c r="G1336" s="8" t="s">
        <v>2772</v>
      </c>
      <c r="H1336" s="8" t="s">
        <v>5162</v>
      </c>
      <c r="I1336" s="3">
        <v>31</v>
      </c>
      <c r="J1336" s="3" t="s">
        <v>5572</v>
      </c>
      <c r="K1336" s="17" t="str">
        <f>HYPERLINK("http://ictvonline.org/taxonomyHistory.asp?taxnode_id=20171598","ICTVonline=20171598")</f>
        <v>ICTVonline=20171598</v>
      </c>
      <c r="L1336" s="3">
        <v>1335</v>
      </c>
    </row>
    <row r="1337" spans="1:12" x14ac:dyDescent="0.15">
      <c r="A1337" s="1" t="s">
        <v>1009</v>
      </c>
      <c r="B1337" s="1" t="s">
        <v>1421</v>
      </c>
      <c r="D1337" s="1" t="s">
        <v>1422</v>
      </c>
      <c r="E1337" s="1" t="s">
        <v>5189</v>
      </c>
      <c r="F1337" s="3">
        <v>0</v>
      </c>
      <c r="G1337" s="8" t="s">
        <v>2772</v>
      </c>
      <c r="H1337" s="8" t="s">
        <v>5162</v>
      </c>
      <c r="I1337" s="3">
        <v>31</v>
      </c>
      <c r="J1337" s="3" t="s">
        <v>5572</v>
      </c>
      <c r="K1337" s="17" t="str">
        <f>HYPERLINK("http://ictvonline.org/taxonomyHistory.asp?taxnode_id=20171599","ICTVonline=20171599")</f>
        <v>ICTVonline=20171599</v>
      </c>
      <c r="L1337" s="3">
        <v>1336</v>
      </c>
    </row>
    <row r="1338" spans="1:12" x14ac:dyDescent="0.15">
      <c r="A1338" s="1" t="s">
        <v>1009</v>
      </c>
      <c r="B1338" s="1" t="s">
        <v>1421</v>
      </c>
      <c r="D1338" s="1" t="s">
        <v>1422</v>
      </c>
      <c r="E1338" s="1" t="s">
        <v>5190</v>
      </c>
      <c r="F1338" s="3">
        <v>0</v>
      </c>
      <c r="G1338" s="8" t="s">
        <v>2772</v>
      </c>
      <c r="H1338" s="8" t="s">
        <v>5162</v>
      </c>
      <c r="I1338" s="3">
        <v>31</v>
      </c>
      <c r="J1338" s="3" t="s">
        <v>5572</v>
      </c>
      <c r="K1338" s="17" t="str">
        <f>HYPERLINK("http://ictvonline.org/taxonomyHistory.asp?taxnode_id=20171600","ICTVonline=20171600")</f>
        <v>ICTVonline=20171600</v>
      </c>
      <c r="L1338" s="3">
        <v>1337</v>
      </c>
    </row>
    <row r="1339" spans="1:12" x14ac:dyDescent="0.15">
      <c r="A1339" s="1" t="s">
        <v>1009</v>
      </c>
      <c r="B1339" s="1" t="s">
        <v>1421</v>
      </c>
      <c r="D1339" s="1" t="s">
        <v>1422</v>
      </c>
      <c r="E1339" s="1" t="s">
        <v>5191</v>
      </c>
      <c r="F1339" s="3">
        <v>0</v>
      </c>
      <c r="G1339" s="8" t="s">
        <v>2772</v>
      </c>
      <c r="H1339" s="8" t="s">
        <v>5162</v>
      </c>
      <c r="I1339" s="3">
        <v>31</v>
      </c>
      <c r="J1339" s="3" t="s">
        <v>5572</v>
      </c>
      <c r="K1339" s="17" t="str">
        <f>HYPERLINK("http://ictvonline.org/taxonomyHistory.asp?taxnode_id=20171601","ICTVonline=20171601")</f>
        <v>ICTVonline=20171601</v>
      </c>
      <c r="L1339" s="3">
        <v>1338</v>
      </c>
    </row>
    <row r="1340" spans="1:12" x14ac:dyDescent="0.15">
      <c r="A1340" s="1" t="s">
        <v>1009</v>
      </c>
      <c r="B1340" s="1" t="s">
        <v>1421</v>
      </c>
      <c r="D1340" s="1" t="s">
        <v>1422</v>
      </c>
      <c r="E1340" s="1" t="s">
        <v>5192</v>
      </c>
      <c r="F1340" s="3">
        <v>0</v>
      </c>
      <c r="G1340" s="8" t="s">
        <v>2772</v>
      </c>
      <c r="H1340" s="8" t="s">
        <v>5162</v>
      </c>
      <c r="I1340" s="3">
        <v>31</v>
      </c>
      <c r="J1340" s="3" t="s">
        <v>5572</v>
      </c>
      <c r="K1340" s="17" t="str">
        <f>HYPERLINK("http://ictvonline.org/taxonomyHistory.asp?taxnode_id=20171602","ICTVonline=20171602")</f>
        <v>ICTVonline=20171602</v>
      </c>
      <c r="L1340" s="3">
        <v>1339</v>
      </c>
    </row>
    <row r="1341" spans="1:12" x14ac:dyDescent="0.15">
      <c r="A1341" s="1" t="s">
        <v>1009</v>
      </c>
      <c r="B1341" s="1" t="s">
        <v>1421</v>
      </c>
      <c r="D1341" s="1" t="s">
        <v>1422</v>
      </c>
      <c r="E1341" s="1" t="s">
        <v>4734</v>
      </c>
      <c r="F1341" s="3">
        <v>0</v>
      </c>
      <c r="G1341" s="8" t="s">
        <v>2772</v>
      </c>
      <c r="H1341" s="8" t="s">
        <v>5159</v>
      </c>
      <c r="I1341" s="3">
        <v>31</v>
      </c>
      <c r="J1341" s="3" t="s">
        <v>5572</v>
      </c>
      <c r="K1341" s="17" t="str">
        <f>HYPERLINK("http://ictvonline.org/taxonomyHistory.asp?taxnode_id=20171603","ICTVonline=20171603")</f>
        <v>ICTVonline=20171603</v>
      </c>
      <c r="L1341" s="3">
        <v>1340</v>
      </c>
    </row>
    <row r="1342" spans="1:12" x14ac:dyDescent="0.15">
      <c r="A1342" s="1" t="s">
        <v>1009</v>
      </c>
      <c r="B1342" s="1" t="s">
        <v>1421</v>
      </c>
      <c r="D1342" s="1" t="s">
        <v>1422</v>
      </c>
      <c r="E1342" s="1" t="s">
        <v>5573</v>
      </c>
      <c r="F1342" s="3">
        <v>0</v>
      </c>
      <c r="G1342" s="8" t="s">
        <v>2772</v>
      </c>
      <c r="H1342" s="8" t="s">
        <v>5159</v>
      </c>
      <c r="I1342" s="3">
        <v>32</v>
      </c>
      <c r="J1342" s="3" t="s">
        <v>5574</v>
      </c>
      <c r="K1342" s="17" t="str">
        <f>HYPERLINK("http://ictvonline.org/taxonomyHistory.asp?taxnode_id=20175574","ICTVonline=20175574")</f>
        <v>ICTVonline=20175574</v>
      </c>
      <c r="L1342" s="3">
        <v>1341</v>
      </c>
    </row>
    <row r="1343" spans="1:12" x14ac:dyDescent="0.15">
      <c r="A1343" s="1" t="s">
        <v>1009</v>
      </c>
      <c r="B1343" s="1" t="s">
        <v>1421</v>
      </c>
      <c r="D1343" s="1" t="s">
        <v>1422</v>
      </c>
      <c r="E1343" s="1" t="s">
        <v>5575</v>
      </c>
      <c r="F1343" s="3">
        <v>0</v>
      </c>
      <c r="G1343" s="8" t="s">
        <v>2772</v>
      </c>
      <c r="H1343" s="8" t="s">
        <v>5159</v>
      </c>
      <c r="I1343" s="3">
        <v>32</v>
      </c>
      <c r="J1343" s="3" t="s">
        <v>5574</v>
      </c>
      <c r="K1343" s="17" t="str">
        <f>HYPERLINK("http://ictvonline.org/taxonomyHistory.asp?taxnode_id=20175575","ICTVonline=20175575")</f>
        <v>ICTVonline=20175575</v>
      </c>
      <c r="L1343" s="3">
        <v>1342</v>
      </c>
    </row>
    <row r="1344" spans="1:12" x14ac:dyDescent="0.15">
      <c r="A1344" s="1" t="s">
        <v>1009</v>
      </c>
      <c r="B1344" s="1" t="s">
        <v>1421</v>
      </c>
      <c r="D1344" s="1" t="s">
        <v>1422</v>
      </c>
      <c r="E1344" s="1" t="s">
        <v>5576</v>
      </c>
      <c r="F1344" s="3">
        <v>0</v>
      </c>
      <c r="G1344" s="8" t="s">
        <v>2772</v>
      </c>
      <c r="H1344" s="8" t="s">
        <v>5159</v>
      </c>
      <c r="I1344" s="3">
        <v>32</v>
      </c>
      <c r="J1344" s="3" t="s">
        <v>5574</v>
      </c>
      <c r="K1344" s="17" t="str">
        <f>HYPERLINK("http://ictvonline.org/taxonomyHistory.asp?taxnode_id=20175576","ICTVonline=20175576")</f>
        <v>ICTVonline=20175576</v>
      </c>
      <c r="L1344" s="3">
        <v>1343</v>
      </c>
    </row>
    <row r="1345" spans="1:12" x14ac:dyDescent="0.15">
      <c r="A1345" s="1" t="s">
        <v>1009</v>
      </c>
      <c r="B1345" s="1" t="s">
        <v>1421</v>
      </c>
      <c r="C1345" s="2"/>
      <c r="D1345" s="1" t="s">
        <v>1422</v>
      </c>
      <c r="E1345" s="1" t="s">
        <v>5577</v>
      </c>
      <c r="F1345" s="3">
        <v>0</v>
      </c>
      <c r="G1345" s="8" t="s">
        <v>2772</v>
      </c>
      <c r="H1345" s="8" t="s">
        <v>5159</v>
      </c>
      <c r="I1345" s="3">
        <v>32</v>
      </c>
      <c r="J1345" s="3" t="s">
        <v>5574</v>
      </c>
      <c r="K1345" s="17" t="str">
        <f>HYPERLINK("http://ictvonline.org/taxonomyHistory.asp?taxnode_id=20175577","ICTVonline=20175577")</f>
        <v>ICTVonline=20175577</v>
      </c>
      <c r="L1345" s="3">
        <v>1344</v>
      </c>
    </row>
    <row r="1346" spans="1:12" x14ac:dyDescent="0.15">
      <c r="A1346" s="1" t="s">
        <v>1009</v>
      </c>
      <c r="B1346" s="1" t="s">
        <v>1421</v>
      </c>
      <c r="D1346" s="1" t="s">
        <v>1422</v>
      </c>
      <c r="E1346" s="1" t="s">
        <v>5578</v>
      </c>
      <c r="F1346" s="3">
        <v>0</v>
      </c>
      <c r="G1346" s="8" t="s">
        <v>2772</v>
      </c>
      <c r="H1346" s="8" t="s">
        <v>5159</v>
      </c>
      <c r="I1346" s="3">
        <v>32</v>
      </c>
      <c r="J1346" s="3" t="s">
        <v>5574</v>
      </c>
      <c r="K1346" s="17" t="str">
        <f>HYPERLINK("http://ictvonline.org/taxonomyHistory.asp?taxnode_id=20175578","ICTVonline=20175578")</f>
        <v>ICTVonline=20175578</v>
      </c>
      <c r="L1346" s="3">
        <v>1345</v>
      </c>
    </row>
    <row r="1347" spans="1:12" x14ac:dyDescent="0.15">
      <c r="A1347" s="1" t="s">
        <v>1009</v>
      </c>
      <c r="B1347" s="1" t="s">
        <v>1421</v>
      </c>
      <c r="D1347" s="1" t="s">
        <v>1422</v>
      </c>
      <c r="E1347" s="1" t="s">
        <v>5579</v>
      </c>
      <c r="F1347" s="3">
        <v>0</v>
      </c>
      <c r="G1347" s="8" t="s">
        <v>2772</v>
      </c>
      <c r="H1347" s="8" t="s">
        <v>5159</v>
      </c>
      <c r="I1347" s="3">
        <v>32</v>
      </c>
      <c r="J1347" s="3" t="s">
        <v>5574</v>
      </c>
      <c r="K1347" s="17" t="str">
        <f>HYPERLINK("http://ictvonline.org/taxonomyHistory.asp?taxnode_id=20175579","ICTVonline=20175579")</f>
        <v>ICTVonline=20175579</v>
      </c>
      <c r="L1347" s="3">
        <v>1346</v>
      </c>
    </row>
    <row r="1348" spans="1:12" x14ac:dyDescent="0.15">
      <c r="A1348" s="1" t="s">
        <v>1009</v>
      </c>
      <c r="B1348" s="1" t="s">
        <v>1421</v>
      </c>
      <c r="D1348" s="1" t="s">
        <v>1357</v>
      </c>
      <c r="E1348" s="1" t="s">
        <v>5193</v>
      </c>
      <c r="F1348" s="3">
        <v>1</v>
      </c>
      <c r="G1348" s="8" t="s">
        <v>2772</v>
      </c>
      <c r="H1348" s="8" t="s">
        <v>5162</v>
      </c>
      <c r="I1348" s="3">
        <v>31</v>
      </c>
      <c r="J1348" s="3" t="s">
        <v>5571</v>
      </c>
      <c r="K1348" s="17" t="str">
        <f>HYPERLINK("http://ictvonline.org/taxonomyHistory.asp?taxnode_id=20171605","ICTVonline=20171605")</f>
        <v>ICTVonline=20171605</v>
      </c>
      <c r="L1348" s="3">
        <v>1347</v>
      </c>
    </row>
    <row r="1349" spans="1:12" x14ac:dyDescent="0.15">
      <c r="A1349" s="1" t="s">
        <v>1009</v>
      </c>
      <c r="B1349" s="1" t="s">
        <v>1421</v>
      </c>
      <c r="D1349" s="1" t="s">
        <v>1333</v>
      </c>
      <c r="E1349" s="1" t="s">
        <v>3669</v>
      </c>
      <c r="F1349" s="3">
        <v>0</v>
      </c>
      <c r="G1349" s="8" t="s">
        <v>2772</v>
      </c>
      <c r="H1349" s="8" t="s">
        <v>5159</v>
      </c>
      <c r="I1349" s="3">
        <v>30</v>
      </c>
      <c r="J1349" s="3" t="s">
        <v>5580</v>
      </c>
      <c r="K1349" s="17" t="str">
        <f>HYPERLINK("http://ictvonline.org/taxonomyHistory.asp?taxnode_id=20171607","ICTVonline=20171607")</f>
        <v>ICTVonline=20171607</v>
      </c>
      <c r="L1349" s="3">
        <v>1348</v>
      </c>
    </row>
    <row r="1350" spans="1:12" x14ac:dyDescent="0.15">
      <c r="A1350" s="1" t="s">
        <v>1009</v>
      </c>
      <c r="B1350" s="1" t="s">
        <v>1421</v>
      </c>
      <c r="D1350" s="1" t="s">
        <v>1333</v>
      </c>
      <c r="E1350" s="1" t="s">
        <v>3670</v>
      </c>
      <c r="F1350" s="3">
        <v>0</v>
      </c>
      <c r="G1350" s="8" t="s">
        <v>2772</v>
      </c>
      <c r="H1350" s="8" t="s">
        <v>5159</v>
      </c>
      <c r="I1350" s="3">
        <v>30</v>
      </c>
      <c r="J1350" s="3" t="s">
        <v>5580</v>
      </c>
      <c r="K1350" s="17" t="str">
        <f>HYPERLINK("http://ictvonline.org/taxonomyHistory.asp?taxnode_id=20171608","ICTVonline=20171608")</f>
        <v>ICTVonline=20171608</v>
      </c>
      <c r="L1350" s="3">
        <v>1349</v>
      </c>
    </row>
    <row r="1351" spans="1:12" x14ac:dyDescent="0.15">
      <c r="A1351" s="1" t="s">
        <v>1009</v>
      </c>
      <c r="B1351" s="1" t="s">
        <v>1421</v>
      </c>
      <c r="D1351" s="1" t="s">
        <v>1333</v>
      </c>
      <c r="E1351" s="1" t="s">
        <v>5194</v>
      </c>
      <c r="F1351" s="3">
        <v>1</v>
      </c>
      <c r="G1351" s="8" t="s">
        <v>2772</v>
      </c>
      <c r="H1351" s="8" t="s">
        <v>5162</v>
      </c>
      <c r="I1351" s="3">
        <v>31</v>
      </c>
      <c r="J1351" s="3" t="s">
        <v>5571</v>
      </c>
      <c r="K1351" s="17" t="str">
        <f>HYPERLINK("http://ictvonline.org/taxonomyHistory.asp?taxnode_id=20171609","ICTVonline=20171609")</f>
        <v>ICTVonline=20171609</v>
      </c>
      <c r="L1351" s="3">
        <v>1350</v>
      </c>
    </row>
    <row r="1352" spans="1:12" x14ac:dyDescent="0.15">
      <c r="A1352" s="1" t="s">
        <v>1009</v>
      </c>
      <c r="B1352" s="1" t="s">
        <v>1421</v>
      </c>
      <c r="D1352" s="1" t="s">
        <v>1333</v>
      </c>
      <c r="E1352" s="1" t="s">
        <v>3671</v>
      </c>
      <c r="F1352" s="3">
        <v>0</v>
      </c>
      <c r="G1352" s="8" t="s">
        <v>2772</v>
      </c>
      <c r="H1352" s="8" t="s">
        <v>5159</v>
      </c>
      <c r="I1352" s="3">
        <v>30</v>
      </c>
      <c r="J1352" s="3" t="s">
        <v>5581</v>
      </c>
      <c r="K1352" s="17" t="str">
        <f>HYPERLINK("http://ictvonline.org/taxonomyHistory.asp?taxnode_id=20171610","ICTVonline=20171610")</f>
        <v>ICTVonline=20171610</v>
      </c>
      <c r="L1352" s="3">
        <v>1351</v>
      </c>
    </row>
    <row r="1353" spans="1:12" x14ac:dyDescent="0.15">
      <c r="A1353" s="1" t="s">
        <v>1009</v>
      </c>
      <c r="B1353" s="1" t="s">
        <v>1421</v>
      </c>
      <c r="D1353" s="1" t="s">
        <v>1333</v>
      </c>
      <c r="E1353" s="1" t="s">
        <v>5195</v>
      </c>
      <c r="F1353" s="3">
        <v>0</v>
      </c>
      <c r="G1353" s="8" t="s">
        <v>2772</v>
      </c>
      <c r="H1353" s="8" t="s">
        <v>5162</v>
      </c>
      <c r="I1353" s="3">
        <v>31</v>
      </c>
      <c r="J1353" s="3" t="s">
        <v>5571</v>
      </c>
      <c r="K1353" s="17" t="str">
        <f>HYPERLINK("http://ictvonline.org/taxonomyHistory.asp?taxnode_id=20171611","ICTVonline=20171611")</f>
        <v>ICTVonline=20171611</v>
      </c>
      <c r="L1353" s="3">
        <v>1352</v>
      </c>
    </row>
    <row r="1354" spans="1:12" x14ac:dyDescent="0.15">
      <c r="A1354" s="1" t="s">
        <v>1009</v>
      </c>
      <c r="B1354" s="1" t="s">
        <v>1421</v>
      </c>
      <c r="D1354" s="1" t="s">
        <v>1334</v>
      </c>
      <c r="E1354" s="1" t="s">
        <v>5196</v>
      </c>
      <c r="F1354" s="3">
        <v>0</v>
      </c>
      <c r="G1354" s="8" t="s">
        <v>2772</v>
      </c>
      <c r="H1354" s="8" t="s">
        <v>5162</v>
      </c>
      <c r="I1354" s="3">
        <v>31</v>
      </c>
      <c r="J1354" s="3" t="s">
        <v>5571</v>
      </c>
      <c r="K1354" s="17" t="str">
        <f>HYPERLINK("http://ictvonline.org/taxonomyHistory.asp?taxnode_id=20171613","ICTVonline=20171613")</f>
        <v>ICTVonline=20171613</v>
      </c>
      <c r="L1354" s="3">
        <v>1353</v>
      </c>
    </row>
    <row r="1355" spans="1:12" x14ac:dyDescent="0.15">
      <c r="A1355" s="1" t="s">
        <v>1009</v>
      </c>
      <c r="B1355" s="1" t="s">
        <v>1421</v>
      </c>
      <c r="D1355" s="1" t="s">
        <v>1334</v>
      </c>
      <c r="E1355" s="1" t="s">
        <v>1335</v>
      </c>
      <c r="F1355" s="3">
        <v>0</v>
      </c>
      <c r="G1355" s="8" t="s">
        <v>2772</v>
      </c>
      <c r="H1355" s="8" t="s">
        <v>5161</v>
      </c>
      <c r="I1355" s="3">
        <v>30</v>
      </c>
      <c r="J1355" s="3" t="s">
        <v>5582</v>
      </c>
      <c r="K1355" s="17" t="str">
        <f>HYPERLINK("http://ictvonline.org/taxonomyHistory.asp?taxnode_id=20171614","ICTVonline=20171614")</f>
        <v>ICTVonline=20171614</v>
      </c>
      <c r="L1355" s="3">
        <v>1354</v>
      </c>
    </row>
    <row r="1356" spans="1:12" x14ac:dyDescent="0.15">
      <c r="A1356" s="1" t="s">
        <v>1009</v>
      </c>
      <c r="B1356" s="1" t="s">
        <v>1421</v>
      </c>
      <c r="D1356" s="1" t="s">
        <v>1334</v>
      </c>
      <c r="E1356" s="1" t="s">
        <v>3672</v>
      </c>
      <c r="F1356" s="3">
        <v>0</v>
      </c>
      <c r="G1356" s="8" t="s">
        <v>2772</v>
      </c>
      <c r="H1356" s="8" t="s">
        <v>5159</v>
      </c>
      <c r="I1356" s="3">
        <v>30</v>
      </c>
      <c r="J1356" s="3" t="s">
        <v>5583</v>
      </c>
      <c r="K1356" s="17" t="str">
        <f>HYPERLINK("http://ictvonline.org/taxonomyHistory.asp?taxnode_id=20171615","ICTVonline=20171615")</f>
        <v>ICTVonline=20171615</v>
      </c>
      <c r="L1356" s="3">
        <v>1355</v>
      </c>
    </row>
    <row r="1357" spans="1:12" x14ac:dyDescent="0.15">
      <c r="A1357" s="1" t="s">
        <v>1009</v>
      </c>
      <c r="B1357" s="1" t="s">
        <v>1421</v>
      </c>
      <c r="D1357" s="1" t="s">
        <v>1334</v>
      </c>
      <c r="E1357" s="1" t="s">
        <v>5197</v>
      </c>
      <c r="F1357" s="3">
        <v>1</v>
      </c>
      <c r="G1357" s="8" t="s">
        <v>2772</v>
      </c>
      <c r="H1357" s="8" t="s">
        <v>5162</v>
      </c>
      <c r="I1357" s="3">
        <v>31</v>
      </c>
      <c r="J1357" s="3" t="s">
        <v>5571</v>
      </c>
      <c r="K1357" s="17" t="str">
        <f>HYPERLINK("http://ictvonline.org/taxonomyHistory.asp?taxnode_id=20171616","ICTVonline=20171616")</f>
        <v>ICTVonline=20171616</v>
      </c>
      <c r="L1357" s="3">
        <v>1356</v>
      </c>
    </row>
    <row r="1358" spans="1:12" x14ac:dyDescent="0.15">
      <c r="A1358" s="1" t="s">
        <v>1009</v>
      </c>
      <c r="B1358" s="1" t="s">
        <v>1421</v>
      </c>
      <c r="D1358" s="1" t="s">
        <v>1334</v>
      </c>
      <c r="E1358" s="1" t="s">
        <v>5198</v>
      </c>
      <c r="F1358" s="3">
        <v>0</v>
      </c>
      <c r="G1358" s="8" t="s">
        <v>2772</v>
      </c>
      <c r="H1358" s="8" t="s">
        <v>5162</v>
      </c>
      <c r="I1358" s="3">
        <v>31</v>
      </c>
      <c r="J1358" s="3" t="s">
        <v>5571</v>
      </c>
      <c r="K1358" s="17" t="str">
        <f>HYPERLINK("http://ictvonline.org/taxonomyHistory.asp?taxnode_id=20171617","ICTVonline=20171617")</f>
        <v>ICTVonline=20171617</v>
      </c>
      <c r="L1358" s="3">
        <v>1357</v>
      </c>
    </row>
    <row r="1359" spans="1:12" x14ac:dyDescent="0.15">
      <c r="A1359" s="1" t="s">
        <v>1009</v>
      </c>
      <c r="B1359" s="1" t="s">
        <v>1421</v>
      </c>
      <c r="D1359" s="1" t="s">
        <v>1334</v>
      </c>
      <c r="E1359" s="1" t="s">
        <v>5199</v>
      </c>
      <c r="F1359" s="3">
        <v>0</v>
      </c>
      <c r="G1359" s="8" t="s">
        <v>2772</v>
      </c>
      <c r="H1359" s="8" t="s">
        <v>5162</v>
      </c>
      <c r="I1359" s="3">
        <v>31</v>
      </c>
      <c r="J1359" s="3" t="s">
        <v>5571</v>
      </c>
      <c r="K1359" s="17" t="str">
        <f>HYPERLINK("http://ictvonline.org/taxonomyHistory.asp?taxnode_id=20171618","ICTVonline=20171618")</f>
        <v>ICTVonline=20171618</v>
      </c>
      <c r="L1359" s="3">
        <v>1358</v>
      </c>
    </row>
    <row r="1360" spans="1:12" x14ac:dyDescent="0.15">
      <c r="A1360" s="1" t="s">
        <v>1009</v>
      </c>
      <c r="B1360" s="1" t="s">
        <v>1421</v>
      </c>
      <c r="D1360" s="1" t="s">
        <v>1334</v>
      </c>
      <c r="E1360" s="1" t="s">
        <v>5200</v>
      </c>
      <c r="F1360" s="3">
        <v>0</v>
      </c>
      <c r="G1360" s="8" t="s">
        <v>2772</v>
      </c>
      <c r="H1360" s="8" t="s">
        <v>5162</v>
      </c>
      <c r="I1360" s="3">
        <v>31</v>
      </c>
      <c r="J1360" s="3" t="s">
        <v>5571</v>
      </c>
      <c r="K1360" s="17" t="str">
        <f>HYPERLINK("http://ictvonline.org/taxonomyHistory.asp?taxnode_id=20171619","ICTVonline=20171619")</f>
        <v>ICTVonline=20171619</v>
      </c>
      <c r="L1360" s="3">
        <v>1359</v>
      </c>
    </row>
    <row r="1361" spans="1:12" x14ac:dyDescent="0.15">
      <c r="A1361" s="1" t="s">
        <v>1009</v>
      </c>
      <c r="B1361" s="1" t="s">
        <v>1421</v>
      </c>
      <c r="D1361" s="1" t="s">
        <v>1336</v>
      </c>
      <c r="E1361" s="1" t="s">
        <v>5201</v>
      </c>
      <c r="F1361" s="3">
        <v>0</v>
      </c>
      <c r="G1361" s="8" t="s">
        <v>2772</v>
      </c>
      <c r="H1361" s="8" t="s">
        <v>5162</v>
      </c>
      <c r="I1361" s="3">
        <v>31</v>
      </c>
      <c r="J1361" s="3" t="s">
        <v>5571</v>
      </c>
      <c r="K1361" s="17" t="str">
        <f>HYPERLINK("http://ictvonline.org/taxonomyHistory.asp?taxnode_id=20171621","ICTVonline=20171621")</f>
        <v>ICTVonline=20171621</v>
      </c>
      <c r="L1361" s="3">
        <v>1360</v>
      </c>
    </row>
    <row r="1362" spans="1:12" x14ac:dyDescent="0.15">
      <c r="A1362" s="1" t="s">
        <v>1009</v>
      </c>
      <c r="B1362" s="1" t="s">
        <v>1421</v>
      </c>
      <c r="D1362" s="1" t="s">
        <v>1336</v>
      </c>
      <c r="E1362" s="1" t="s">
        <v>5202</v>
      </c>
      <c r="F1362" s="3">
        <v>0</v>
      </c>
      <c r="G1362" s="8" t="s">
        <v>2772</v>
      </c>
      <c r="H1362" s="8" t="s">
        <v>5162</v>
      </c>
      <c r="I1362" s="3">
        <v>31</v>
      </c>
      <c r="J1362" s="3" t="s">
        <v>5571</v>
      </c>
      <c r="K1362" s="17" t="str">
        <f>HYPERLINK("http://ictvonline.org/taxonomyHistory.asp?taxnode_id=20171622","ICTVonline=20171622")</f>
        <v>ICTVonline=20171622</v>
      </c>
      <c r="L1362" s="3">
        <v>1361</v>
      </c>
    </row>
    <row r="1363" spans="1:12" x14ac:dyDescent="0.15">
      <c r="A1363" s="1" t="s">
        <v>1009</v>
      </c>
      <c r="B1363" s="1" t="s">
        <v>1421</v>
      </c>
      <c r="D1363" s="1" t="s">
        <v>1336</v>
      </c>
      <c r="E1363" s="1" t="s">
        <v>5203</v>
      </c>
      <c r="F1363" s="3">
        <v>0</v>
      </c>
      <c r="G1363" s="8" t="s">
        <v>2772</v>
      </c>
      <c r="H1363" s="8" t="s">
        <v>5162</v>
      </c>
      <c r="I1363" s="3">
        <v>31</v>
      </c>
      <c r="J1363" s="3" t="s">
        <v>5571</v>
      </c>
      <c r="K1363" s="17" t="str">
        <f>HYPERLINK("http://ictvonline.org/taxonomyHistory.asp?taxnode_id=20171623","ICTVonline=20171623")</f>
        <v>ICTVonline=20171623</v>
      </c>
      <c r="L1363" s="3">
        <v>1362</v>
      </c>
    </row>
    <row r="1364" spans="1:12" x14ac:dyDescent="0.15">
      <c r="A1364" s="1" t="s">
        <v>1009</v>
      </c>
      <c r="B1364" s="1" t="s">
        <v>1421</v>
      </c>
      <c r="D1364" s="1" t="s">
        <v>1336</v>
      </c>
      <c r="E1364" s="1" t="s">
        <v>5204</v>
      </c>
      <c r="F1364" s="3">
        <v>1</v>
      </c>
      <c r="G1364" s="8" t="s">
        <v>2772</v>
      </c>
      <c r="H1364" s="8" t="s">
        <v>5162</v>
      </c>
      <c r="I1364" s="3">
        <v>31</v>
      </c>
      <c r="J1364" s="3" t="s">
        <v>5571</v>
      </c>
      <c r="K1364" s="17" t="str">
        <f>HYPERLINK("http://ictvonline.org/taxonomyHistory.asp?taxnode_id=20171624","ICTVonline=20171624")</f>
        <v>ICTVonline=20171624</v>
      </c>
      <c r="L1364" s="3">
        <v>1363</v>
      </c>
    </row>
    <row r="1365" spans="1:12" x14ac:dyDescent="0.15">
      <c r="A1365" s="1" t="s">
        <v>1009</v>
      </c>
      <c r="B1365" s="1" t="s">
        <v>1421</v>
      </c>
      <c r="D1365" s="1" t="s">
        <v>1336</v>
      </c>
      <c r="E1365" s="1" t="s">
        <v>5205</v>
      </c>
      <c r="F1365" s="3">
        <v>0</v>
      </c>
      <c r="G1365" s="8" t="s">
        <v>2772</v>
      </c>
      <c r="H1365" s="8" t="s">
        <v>5162</v>
      </c>
      <c r="I1365" s="3">
        <v>31</v>
      </c>
      <c r="J1365" s="3" t="s">
        <v>5571</v>
      </c>
      <c r="K1365" s="17" t="str">
        <f>HYPERLINK("http://ictvonline.org/taxonomyHistory.asp?taxnode_id=20171625","ICTVonline=20171625")</f>
        <v>ICTVonline=20171625</v>
      </c>
      <c r="L1365" s="3">
        <v>1364</v>
      </c>
    </row>
    <row r="1366" spans="1:12" x14ac:dyDescent="0.15">
      <c r="A1366" s="1" t="s">
        <v>1009</v>
      </c>
      <c r="B1366" s="1" t="s">
        <v>1421</v>
      </c>
      <c r="D1366" s="1" t="s">
        <v>1444</v>
      </c>
      <c r="E1366" s="1" t="s">
        <v>4735</v>
      </c>
      <c r="F1366" s="3">
        <v>0</v>
      </c>
      <c r="G1366" s="8" t="s">
        <v>2772</v>
      </c>
      <c r="H1366" s="8" t="s">
        <v>5159</v>
      </c>
      <c r="I1366" s="3">
        <v>31</v>
      </c>
      <c r="J1366" s="3" t="s">
        <v>5584</v>
      </c>
      <c r="K1366" s="17" t="str">
        <f>HYPERLINK("http://ictvonline.org/taxonomyHistory.asp?taxnode_id=20171627","ICTVonline=20171627")</f>
        <v>ICTVonline=20171627</v>
      </c>
      <c r="L1366" s="3">
        <v>1365</v>
      </c>
    </row>
    <row r="1367" spans="1:12" x14ac:dyDescent="0.15">
      <c r="A1367" s="1" t="s">
        <v>1009</v>
      </c>
      <c r="B1367" s="1" t="s">
        <v>1421</v>
      </c>
      <c r="D1367" s="1" t="s">
        <v>1444</v>
      </c>
      <c r="E1367" s="1" t="s">
        <v>4736</v>
      </c>
      <c r="F1367" s="3">
        <v>0</v>
      </c>
      <c r="G1367" s="8" t="s">
        <v>2772</v>
      </c>
      <c r="H1367" s="8" t="s">
        <v>5159</v>
      </c>
      <c r="I1367" s="3">
        <v>31</v>
      </c>
      <c r="J1367" s="3" t="s">
        <v>5584</v>
      </c>
      <c r="K1367" s="17" t="str">
        <f>HYPERLINK("http://ictvonline.org/taxonomyHistory.asp?taxnode_id=20171628","ICTVonline=20171628")</f>
        <v>ICTVonline=20171628</v>
      </c>
      <c r="L1367" s="3">
        <v>1366</v>
      </c>
    </row>
    <row r="1368" spans="1:12" x14ac:dyDescent="0.15">
      <c r="A1368" s="1" t="s">
        <v>1009</v>
      </c>
      <c r="B1368" s="1" t="s">
        <v>1421</v>
      </c>
      <c r="D1368" s="1" t="s">
        <v>1444</v>
      </c>
      <c r="E1368" s="1" t="s">
        <v>4737</v>
      </c>
      <c r="F1368" s="3">
        <v>0</v>
      </c>
      <c r="G1368" s="8" t="s">
        <v>2772</v>
      </c>
      <c r="H1368" s="8" t="s">
        <v>5159</v>
      </c>
      <c r="I1368" s="3">
        <v>31</v>
      </c>
      <c r="J1368" s="3" t="s">
        <v>5584</v>
      </c>
      <c r="K1368" s="17" t="str">
        <f>HYPERLINK("http://ictvonline.org/taxonomyHistory.asp?taxnode_id=20171629","ICTVonline=20171629")</f>
        <v>ICTVonline=20171629</v>
      </c>
      <c r="L1368" s="3">
        <v>1367</v>
      </c>
    </row>
    <row r="1369" spans="1:12" x14ac:dyDescent="0.15">
      <c r="A1369" s="1" t="s">
        <v>1009</v>
      </c>
      <c r="B1369" s="1" t="s">
        <v>1421</v>
      </c>
      <c r="D1369" s="1" t="s">
        <v>1444</v>
      </c>
      <c r="E1369" s="1" t="s">
        <v>5206</v>
      </c>
      <c r="F1369" s="3">
        <v>0</v>
      </c>
      <c r="G1369" s="8" t="s">
        <v>2772</v>
      </c>
      <c r="H1369" s="8" t="s">
        <v>5162</v>
      </c>
      <c r="I1369" s="3">
        <v>31</v>
      </c>
      <c r="J1369" s="3" t="s">
        <v>5571</v>
      </c>
      <c r="K1369" s="17" t="str">
        <f>HYPERLINK("http://ictvonline.org/taxonomyHistory.asp?taxnode_id=20171630","ICTVonline=20171630")</f>
        <v>ICTVonline=20171630</v>
      </c>
      <c r="L1369" s="3">
        <v>1368</v>
      </c>
    </row>
    <row r="1370" spans="1:12" x14ac:dyDescent="0.15">
      <c r="A1370" s="1" t="s">
        <v>1009</v>
      </c>
      <c r="B1370" s="1" t="s">
        <v>1421</v>
      </c>
      <c r="D1370" s="1" t="s">
        <v>1444</v>
      </c>
      <c r="E1370" s="1" t="s">
        <v>5207</v>
      </c>
      <c r="F1370" s="3">
        <v>0</v>
      </c>
      <c r="G1370" s="8" t="s">
        <v>2772</v>
      </c>
      <c r="H1370" s="8" t="s">
        <v>5162</v>
      </c>
      <c r="I1370" s="3">
        <v>31</v>
      </c>
      <c r="J1370" s="3" t="s">
        <v>5571</v>
      </c>
      <c r="K1370" s="17" t="str">
        <f>HYPERLINK("http://ictvonline.org/taxonomyHistory.asp?taxnode_id=20171631","ICTVonline=20171631")</f>
        <v>ICTVonline=20171631</v>
      </c>
      <c r="L1370" s="3">
        <v>1369</v>
      </c>
    </row>
    <row r="1371" spans="1:12" x14ac:dyDescent="0.15">
      <c r="A1371" s="1" t="s">
        <v>1009</v>
      </c>
      <c r="B1371" s="1" t="s">
        <v>1421</v>
      </c>
      <c r="D1371" s="1" t="s">
        <v>1444</v>
      </c>
      <c r="E1371" s="1" t="s">
        <v>5208</v>
      </c>
      <c r="F1371" s="3">
        <v>0</v>
      </c>
      <c r="G1371" s="8" t="s">
        <v>2772</v>
      </c>
      <c r="H1371" s="8" t="s">
        <v>5162</v>
      </c>
      <c r="I1371" s="3">
        <v>31</v>
      </c>
      <c r="J1371" s="3" t="s">
        <v>5571</v>
      </c>
      <c r="K1371" s="17" t="str">
        <f>HYPERLINK("http://ictvonline.org/taxonomyHistory.asp?taxnode_id=20171632","ICTVonline=20171632")</f>
        <v>ICTVonline=20171632</v>
      </c>
      <c r="L1371" s="3">
        <v>1370</v>
      </c>
    </row>
    <row r="1372" spans="1:12" x14ac:dyDescent="0.15">
      <c r="A1372" s="1" t="s">
        <v>1009</v>
      </c>
      <c r="B1372" s="1" t="s">
        <v>1421</v>
      </c>
      <c r="D1372" s="1" t="s">
        <v>1444</v>
      </c>
      <c r="E1372" s="1" t="s">
        <v>5209</v>
      </c>
      <c r="F1372" s="3">
        <v>0</v>
      </c>
      <c r="G1372" s="8" t="s">
        <v>2772</v>
      </c>
      <c r="H1372" s="8" t="s">
        <v>5162</v>
      </c>
      <c r="I1372" s="3">
        <v>31</v>
      </c>
      <c r="J1372" s="3" t="s">
        <v>5571</v>
      </c>
      <c r="K1372" s="17" t="str">
        <f>HYPERLINK("http://ictvonline.org/taxonomyHistory.asp?taxnode_id=20171633","ICTVonline=20171633")</f>
        <v>ICTVonline=20171633</v>
      </c>
      <c r="L1372" s="3">
        <v>1371</v>
      </c>
    </row>
    <row r="1373" spans="1:12" x14ac:dyDescent="0.15">
      <c r="A1373" s="1" t="s">
        <v>1009</v>
      </c>
      <c r="B1373" s="1" t="s">
        <v>1421</v>
      </c>
      <c r="D1373" s="1" t="s">
        <v>1444</v>
      </c>
      <c r="E1373" s="1" t="s">
        <v>4738</v>
      </c>
      <c r="F1373" s="3">
        <v>0</v>
      </c>
      <c r="G1373" s="8" t="s">
        <v>2772</v>
      </c>
      <c r="H1373" s="8" t="s">
        <v>5159</v>
      </c>
      <c r="I1373" s="3">
        <v>31</v>
      </c>
      <c r="J1373" s="3" t="s">
        <v>5584</v>
      </c>
      <c r="K1373" s="17" t="str">
        <f>HYPERLINK("http://ictvonline.org/taxonomyHistory.asp?taxnode_id=20171634","ICTVonline=20171634")</f>
        <v>ICTVonline=20171634</v>
      </c>
      <c r="L1373" s="3">
        <v>1372</v>
      </c>
    </row>
    <row r="1374" spans="1:12" x14ac:dyDescent="0.15">
      <c r="A1374" s="1" t="s">
        <v>1009</v>
      </c>
      <c r="B1374" s="1" t="s">
        <v>1421</v>
      </c>
      <c r="D1374" s="1" t="s">
        <v>1444</v>
      </c>
      <c r="E1374" s="1" t="s">
        <v>5210</v>
      </c>
      <c r="F1374" s="3">
        <v>1</v>
      </c>
      <c r="G1374" s="8" t="s">
        <v>2772</v>
      </c>
      <c r="H1374" s="8" t="s">
        <v>5162</v>
      </c>
      <c r="I1374" s="3">
        <v>31</v>
      </c>
      <c r="J1374" s="3" t="s">
        <v>5571</v>
      </c>
      <c r="K1374" s="17" t="str">
        <f>HYPERLINK("http://ictvonline.org/taxonomyHistory.asp?taxnode_id=20171635","ICTVonline=20171635")</f>
        <v>ICTVonline=20171635</v>
      </c>
      <c r="L1374" s="3">
        <v>1373</v>
      </c>
    </row>
    <row r="1375" spans="1:12" x14ac:dyDescent="0.15">
      <c r="A1375" s="1" t="s">
        <v>1009</v>
      </c>
      <c r="B1375" s="1" t="s">
        <v>1421</v>
      </c>
      <c r="D1375" s="1" t="s">
        <v>1444</v>
      </c>
      <c r="E1375" s="1" t="s">
        <v>1445</v>
      </c>
      <c r="F1375" s="3">
        <v>0</v>
      </c>
      <c r="G1375" s="8" t="s">
        <v>2772</v>
      </c>
      <c r="H1375" s="8" t="s">
        <v>5161</v>
      </c>
      <c r="I1375" s="3">
        <v>30</v>
      </c>
      <c r="J1375" s="3" t="s">
        <v>5582</v>
      </c>
      <c r="K1375" s="17" t="str">
        <f>HYPERLINK("http://ictvonline.org/taxonomyHistory.asp?taxnode_id=20171636","ICTVonline=20171636")</f>
        <v>ICTVonline=20171636</v>
      </c>
      <c r="L1375" s="3">
        <v>1374</v>
      </c>
    </row>
    <row r="1376" spans="1:12" x14ac:dyDescent="0.15">
      <c r="A1376" s="1" t="s">
        <v>1009</v>
      </c>
      <c r="B1376" s="1" t="s">
        <v>1421</v>
      </c>
      <c r="D1376" s="1" t="s">
        <v>1444</v>
      </c>
      <c r="E1376" s="1" t="s">
        <v>5211</v>
      </c>
      <c r="F1376" s="3">
        <v>0</v>
      </c>
      <c r="G1376" s="8" t="s">
        <v>2772</v>
      </c>
      <c r="H1376" s="8" t="s">
        <v>5162</v>
      </c>
      <c r="I1376" s="3">
        <v>31</v>
      </c>
      <c r="J1376" s="3" t="s">
        <v>5571</v>
      </c>
      <c r="K1376" s="17" t="str">
        <f>HYPERLINK("http://ictvonline.org/taxonomyHistory.asp?taxnode_id=20171637","ICTVonline=20171637")</f>
        <v>ICTVonline=20171637</v>
      </c>
      <c r="L1376" s="3">
        <v>1375</v>
      </c>
    </row>
    <row r="1377" spans="1:12" x14ac:dyDescent="0.15">
      <c r="A1377" s="1" t="s">
        <v>1009</v>
      </c>
      <c r="B1377" s="1" t="s">
        <v>1421</v>
      </c>
      <c r="D1377" s="1" t="s">
        <v>1444</v>
      </c>
      <c r="E1377" s="1" t="s">
        <v>4739</v>
      </c>
      <c r="F1377" s="3">
        <v>0</v>
      </c>
      <c r="G1377" s="8" t="s">
        <v>2772</v>
      </c>
      <c r="H1377" s="8" t="s">
        <v>5159</v>
      </c>
      <c r="I1377" s="3">
        <v>31</v>
      </c>
      <c r="J1377" s="3" t="s">
        <v>5584</v>
      </c>
      <c r="K1377" s="17" t="str">
        <f>HYPERLINK("http://ictvonline.org/taxonomyHistory.asp?taxnode_id=20171638","ICTVonline=20171638")</f>
        <v>ICTVonline=20171638</v>
      </c>
      <c r="L1377" s="3">
        <v>1376</v>
      </c>
    </row>
    <row r="1378" spans="1:12" x14ac:dyDescent="0.15">
      <c r="A1378" s="1" t="s">
        <v>1009</v>
      </c>
      <c r="B1378" s="1" t="s">
        <v>1421</v>
      </c>
      <c r="D1378" s="1" t="s">
        <v>1444</v>
      </c>
      <c r="E1378" s="1" t="s">
        <v>4740</v>
      </c>
      <c r="F1378" s="3">
        <v>0</v>
      </c>
      <c r="G1378" s="8" t="s">
        <v>2772</v>
      </c>
      <c r="H1378" s="8" t="s">
        <v>5159</v>
      </c>
      <c r="I1378" s="3">
        <v>31</v>
      </c>
      <c r="J1378" s="3" t="s">
        <v>5584</v>
      </c>
      <c r="K1378" s="17" t="str">
        <f>HYPERLINK("http://ictvonline.org/taxonomyHistory.asp?taxnode_id=20171639","ICTVonline=20171639")</f>
        <v>ICTVonline=20171639</v>
      </c>
      <c r="L1378" s="3">
        <v>1377</v>
      </c>
    </row>
    <row r="1379" spans="1:12" x14ac:dyDescent="0.15">
      <c r="A1379" s="1" t="s">
        <v>1009</v>
      </c>
      <c r="B1379" s="1" t="s">
        <v>1421</v>
      </c>
      <c r="D1379" s="1" t="s">
        <v>1444</v>
      </c>
      <c r="E1379" s="1" t="s">
        <v>4741</v>
      </c>
      <c r="F1379" s="3">
        <v>0</v>
      </c>
      <c r="G1379" s="8" t="s">
        <v>2772</v>
      </c>
      <c r="H1379" s="8" t="s">
        <v>5159</v>
      </c>
      <c r="I1379" s="3">
        <v>31</v>
      </c>
      <c r="J1379" s="3" t="s">
        <v>5584</v>
      </c>
      <c r="K1379" s="17" t="str">
        <f>HYPERLINK("http://ictvonline.org/taxonomyHistory.asp?taxnode_id=20171640","ICTVonline=20171640")</f>
        <v>ICTVonline=20171640</v>
      </c>
      <c r="L1379" s="3">
        <v>1378</v>
      </c>
    </row>
    <row r="1380" spans="1:12" x14ac:dyDescent="0.15">
      <c r="A1380" s="1" t="s">
        <v>1009</v>
      </c>
      <c r="B1380" s="1" t="s">
        <v>1421</v>
      </c>
      <c r="D1380" s="1" t="s">
        <v>1444</v>
      </c>
      <c r="E1380" s="1" t="s">
        <v>4742</v>
      </c>
      <c r="F1380" s="3">
        <v>0</v>
      </c>
      <c r="G1380" s="8" t="s">
        <v>2772</v>
      </c>
      <c r="H1380" s="8" t="s">
        <v>5159</v>
      </c>
      <c r="I1380" s="3">
        <v>31</v>
      </c>
      <c r="J1380" s="3" t="s">
        <v>5584</v>
      </c>
      <c r="K1380" s="17" t="str">
        <f>HYPERLINK("http://ictvonline.org/taxonomyHistory.asp?taxnode_id=20171641","ICTVonline=20171641")</f>
        <v>ICTVonline=20171641</v>
      </c>
      <c r="L1380" s="3">
        <v>1379</v>
      </c>
    </row>
    <row r="1381" spans="1:12" x14ac:dyDescent="0.15">
      <c r="A1381" s="1" t="s">
        <v>1009</v>
      </c>
      <c r="B1381" s="1" t="s">
        <v>1421</v>
      </c>
      <c r="D1381" s="1" t="s">
        <v>1444</v>
      </c>
      <c r="E1381" s="1" t="s">
        <v>4743</v>
      </c>
      <c r="F1381" s="3">
        <v>0</v>
      </c>
      <c r="G1381" s="8" t="s">
        <v>2772</v>
      </c>
      <c r="H1381" s="8" t="s">
        <v>5159</v>
      </c>
      <c r="I1381" s="3">
        <v>31</v>
      </c>
      <c r="J1381" s="3" t="s">
        <v>5584</v>
      </c>
      <c r="K1381" s="17" t="str">
        <f>HYPERLINK("http://ictvonline.org/taxonomyHistory.asp?taxnode_id=20171642","ICTVonline=20171642")</f>
        <v>ICTVonline=20171642</v>
      </c>
      <c r="L1381" s="3">
        <v>1380</v>
      </c>
    </row>
    <row r="1382" spans="1:12" x14ac:dyDescent="0.15">
      <c r="A1382" s="1" t="s">
        <v>1009</v>
      </c>
      <c r="B1382" s="1" t="s">
        <v>1421</v>
      </c>
      <c r="D1382" s="1" t="s">
        <v>1444</v>
      </c>
      <c r="E1382" s="1" t="s">
        <v>4744</v>
      </c>
      <c r="F1382" s="3">
        <v>0</v>
      </c>
      <c r="G1382" s="8" t="s">
        <v>2772</v>
      </c>
      <c r="H1382" s="8" t="s">
        <v>5159</v>
      </c>
      <c r="I1382" s="3">
        <v>31</v>
      </c>
      <c r="J1382" s="3" t="s">
        <v>5584</v>
      </c>
      <c r="K1382" s="17" t="str">
        <f>HYPERLINK("http://ictvonline.org/taxonomyHistory.asp?taxnode_id=20171643","ICTVonline=20171643")</f>
        <v>ICTVonline=20171643</v>
      </c>
      <c r="L1382" s="3">
        <v>1381</v>
      </c>
    </row>
    <row r="1383" spans="1:12" x14ac:dyDescent="0.15">
      <c r="A1383" s="1" t="s">
        <v>1009</v>
      </c>
      <c r="B1383" s="1" t="s">
        <v>3673</v>
      </c>
      <c r="D1383" s="1" t="s">
        <v>4190</v>
      </c>
      <c r="E1383" s="1" t="s">
        <v>1446</v>
      </c>
      <c r="F1383" s="3">
        <v>1</v>
      </c>
      <c r="G1383" s="8" t="s">
        <v>2772</v>
      </c>
      <c r="H1383" s="8" t="s">
        <v>5161</v>
      </c>
      <c r="I1383" s="3">
        <v>30</v>
      </c>
      <c r="J1383" s="3" t="s">
        <v>5582</v>
      </c>
      <c r="K1383" s="17" t="str">
        <f>HYPERLINK("http://ictvonline.org/taxonomyHistory.asp?taxnode_id=20171647","ICTVonline=20171647")</f>
        <v>ICTVonline=20171647</v>
      </c>
      <c r="L1383" s="3">
        <v>1382</v>
      </c>
    </row>
    <row r="1384" spans="1:12" x14ac:dyDescent="0.15">
      <c r="A1384" s="1" t="s">
        <v>1009</v>
      </c>
      <c r="B1384" s="1" t="s">
        <v>3673</v>
      </c>
      <c r="D1384" s="1" t="s">
        <v>4190</v>
      </c>
      <c r="E1384" s="1" t="s">
        <v>1447</v>
      </c>
      <c r="F1384" s="3">
        <v>0</v>
      </c>
      <c r="G1384" s="8" t="s">
        <v>2772</v>
      </c>
      <c r="H1384" s="8" t="s">
        <v>5161</v>
      </c>
      <c r="I1384" s="3">
        <v>30</v>
      </c>
      <c r="J1384" s="3" t="s">
        <v>5582</v>
      </c>
      <c r="K1384" s="17" t="str">
        <f>HYPERLINK("http://ictvonline.org/taxonomyHistory.asp?taxnode_id=20171648","ICTVonline=20171648")</f>
        <v>ICTVonline=20171648</v>
      </c>
      <c r="L1384" s="3">
        <v>1383</v>
      </c>
    </row>
    <row r="1385" spans="1:12" x14ac:dyDescent="0.15">
      <c r="A1385" s="1" t="s">
        <v>1009</v>
      </c>
      <c r="B1385" s="1" t="s">
        <v>3673</v>
      </c>
      <c r="D1385" s="1" t="s">
        <v>3674</v>
      </c>
      <c r="E1385" s="1" t="s">
        <v>5212</v>
      </c>
      <c r="F1385" s="3">
        <v>0</v>
      </c>
      <c r="G1385" s="8" t="s">
        <v>2772</v>
      </c>
      <c r="H1385" s="8" t="s">
        <v>5162</v>
      </c>
      <c r="I1385" s="3">
        <v>31</v>
      </c>
      <c r="J1385" s="3" t="s">
        <v>5585</v>
      </c>
      <c r="K1385" s="17" t="str">
        <f>HYPERLINK("http://ictvonline.org/taxonomyHistory.asp?taxnode_id=20171650","ICTVonline=20171650")</f>
        <v>ICTVonline=20171650</v>
      </c>
      <c r="L1385" s="3">
        <v>1384</v>
      </c>
    </row>
    <row r="1386" spans="1:12" x14ac:dyDescent="0.15">
      <c r="A1386" s="1" t="s">
        <v>1009</v>
      </c>
      <c r="B1386" s="1" t="s">
        <v>3673</v>
      </c>
      <c r="D1386" s="1" t="s">
        <v>3674</v>
      </c>
      <c r="E1386" s="1" t="s">
        <v>5213</v>
      </c>
      <c r="F1386" s="3">
        <v>1</v>
      </c>
      <c r="G1386" s="8" t="s">
        <v>2772</v>
      </c>
      <c r="H1386" s="8" t="s">
        <v>5162</v>
      </c>
      <c r="I1386" s="3">
        <v>31</v>
      </c>
      <c r="J1386" s="3" t="s">
        <v>5585</v>
      </c>
      <c r="K1386" s="17" t="str">
        <f>HYPERLINK("http://ictvonline.org/taxonomyHistory.asp?taxnode_id=20171651","ICTVonline=20171651")</f>
        <v>ICTVonline=20171651</v>
      </c>
      <c r="L1386" s="3">
        <v>1385</v>
      </c>
    </row>
    <row r="1387" spans="1:12" x14ac:dyDescent="0.15">
      <c r="A1387" s="1" t="s">
        <v>1009</v>
      </c>
      <c r="B1387" s="1" t="s">
        <v>3673</v>
      </c>
      <c r="D1387" s="1" t="s">
        <v>3674</v>
      </c>
      <c r="E1387" s="1" t="s">
        <v>5214</v>
      </c>
      <c r="F1387" s="3">
        <v>0</v>
      </c>
      <c r="G1387" s="8" t="s">
        <v>2772</v>
      </c>
      <c r="H1387" s="8" t="s">
        <v>5162</v>
      </c>
      <c r="I1387" s="3">
        <v>31</v>
      </c>
      <c r="J1387" s="3" t="s">
        <v>5585</v>
      </c>
      <c r="K1387" s="17" t="str">
        <f>HYPERLINK("http://ictvonline.org/taxonomyHistory.asp?taxnode_id=20171652","ICTVonline=20171652")</f>
        <v>ICTVonline=20171652</v>
      </c>
      <c r="L1387" s="3">
        <v>1386</v>
      </c>
    </row>
    <row r="1388" spans="1:12" x14ac:dyDescent="0.15">
      <c r="A1388" s="1" t="s">
        <v>1009</v>
      </c>
      <c r="B1388" s="1" t="s">
        <v>1449</v>
      </c>
      <c r="D1388" s="1" t="s">
        <v>4745</v>
      </c>
      <c r="E1388" s="1" t="s">
        <v>4746</v>
      </c>
      <c r="F1388" s="3">
        <v>0</v>
      </c>
      <c r="G1388" s="8" t="s">
        <v>2772</v>
      </c>
      <c r="H1388" s="8" t="s">
        <v>5159</v>
      </c>
      <c r="I1388" s="3">
        <v>31</v>
      </c>
      <c r="J1388" s="3" t="s">
        <v>5586</v>
      </c>
      <c r="K1388" s="17" t="str">
        <f>HYPERLINK("http://ictvonline.org/taxonomyHistory.asp?taxnode_id=20171656","ICTVonline=20171656")</f>
        <v>ICTVonline=20171656</v>
      </c>
      <c r="L1388" s="3">
        <v>1387</v>
      </c>
    </row>
    <row r="1389" spans="1:12" x14ac:dyDescent="0.15">
      <c r="A1389" s="1" t="s">
        <v>1009</v>
      </c>
      <c r="B1389" s="1" t="s">
        <v>1449</v>
      </c>
      <c r="D1389" s="1" t="s">
        <v>4745</v>
      </c>
      <c r="E1389" s="1" t="s">
        <v>4747</v>
      </c>
      <c r="F1389" s="3">
        <v>0</v>
      </c>
      <c r="G1389" s="8" t="s">
        <v>2772</v>
      </c>
      <c r="H1389" s="8" t="s">
        <v>5159</v>
      </c>
      <c r="I1389" s="3">
        <v>31</v>
      </c>
      <c r="J1389" s="3" t="s">
        <v>5586</v>
      </c>
      <c r="K1389" s="17" t="str">
        <f>HYPERLINK("http://ictvonline.org/taxonomyHistory.asp?taxnode_id=20171657","ICTVonline=20171657")</f>
        <v>ICTVonline=20171657</v>
      </c>
      <c r="L1389" s="3">
        <v>1388</v>
      </c>
    </row>
    <row r="1390" spans="1:12" x14ac:dyDescent="0.15">
      <c r="A1390" s="1" t="s">
        <v>1009</v>
      </c>
      <c r="B1390" s="1" t="s">
        <v>1449</v>
      </c>
      <c r="D1390" s="1" t="s">
        <v>4745</v>
      </c>
      <c r="E1390" s="1" t="s">
        <v>4748</v>
      </c>
      <c r="F1390" s="3">
        <v>0</v>
      </c>
      <c r="G1390" s="8" t="s">
        <v>2772</v>
      </c>
      <c r="H1390" s="8" t="s">
        <v>5159</v>
      </c>
      <c r="I1390" s="3">
        <v>31</v>
      </c>
      <c r="J1390" s="3" t="s">
        <v>5586</v>
      </c>
      <c r="K1390" s="17" t="str">
        <f>HYPERLINK("http://ictvonline.org/taxonomyHistory.asp?taxnode_id=20171658","ICTVonline=20171658")</f>
        <v>ICTVonline=20171658</v>
      </c>
      <c r="L1390" s="3">
        <v>1389</v>
      </c>
    </row>
    <row r="1391" spans="1:12" x14ac:dyDescent="0.15">
      <c r="A1391" s="1" t="s">
        <v>1009</v>
      </c>
      <c r="B1391" s="1" t="s">
        <v>1449</v>
      </c>
      <c r="D1391" s="1" t="s">
        <v>4745</v>
      </c>
      <c r="E1391" s="1" t="s">
        <v>4749</v>
      </c>
      <c r="F1391" s="3">
        <v>1</v>
      </c>
      <c r="G1391" s="8" t="s">
        <v>2772</v>
      </c>
      <c r="H1391" s="8" t="s">
        <v>5159</v>
      </c>
      <c r="I1391" s="3">
        <v>31</v>
      </c>
      <c r="J1391" s="3" t="s">
        <v>5586</v>
      </c>
      <c r="K1391" s="17" t="str">
        <f>HYPERLINK("http://ictvonline.org/taxonomyHistory.asp?taxnode_id=20171659","ICTVonline=20171659")</f>
        <v>ICTVonline=20171659</v>
      </c>
      <c r="L1391" s="3">
        <v>1390</v>
      </c>
    </row>
    <row r="1392" spans="1:12" x14ac:dyDescent="0.15">
      <c r="A1392" s="1" t="s">
        <v>1009</v>
      </c>
      <c r="B1392" s="1" t="s">
        <v>1449</v>
      </c>
      <c r="D1392" s="1" t="s">
        <v>4745</v>
      </c>
      <c r="E1392" s="1" t="s">
        <v>4750</v>
      </c>
      <c r="F1392" s="3">
        <v>0</v>
      </c>
      <c r="G1392" s="8" t="s">
        <v>2772</v>
      </c>
      <c r="H1392" s="8" t="s">
        <v>5159</v>
      </c>
      <c r="I1392" s="3">
        <v>31</v>
      </c>
      <c r="J1392" s="3" t="s">
        <v>5586</v>
      </c>
      <c r="K1392" s="17" t="str">
        <f>HYPERLINK("http://ictvonline.org/taxonomyHistory.asp?taxnode_id=20171660","ICTVonline=20171660")</f>
        <v>ICTVonline=20171660</v>
      </c>
      <c r="L1392" s="3">
        <v>1391</v>
      </c>
    </row>
    <row r="1393" spans="1:12" x14ac:dyDescent="0.15">
      <c r="A1393" s="1" t="s">
        <v>1009</v>
      </c>
      <c r="B1393" s="1" t="s">
        <v>1449</v>
      </c>
      <c r="D1393" s="1" t="s">
        <v>4751</v>
      </c>
      <c r="E1393" s="1" t="s">
        <v>4752</v>
      </c>
      <c r="F1393" s="3">
        <v>1</v>
      </c>
      <c r="G1393" s="8" t="s">
        <v>2772</v>
      </c>
      <c r="H1393" s="8" t="s">
        <v>5159</v>
      </c>
      <c r="I1393" s="3">
        <v>31</v>
      </c>
      <c r="J1393" s="3" t="s">
        <v>5587</v>
      </c>
      <c r="K1393" s="17" t="str">
        <f>HYPERLINK("http://ictvonline.org/taxonomyHistory.asp?taxnode_id=20171662","ICTVonline=20171662")</f>
        <v>ICTVonline=20171662</v>
      </c>
      <c r="L1393" s="3">
        <v>1392</v>
      </c>
    </row>
    <row r="1394" spans="1:12" x14ac:dyDescent="0.15">
      <c r="A1394" s="1" t="s">
        <v>1009</v>
      </c>
      <c r="B1394" s="1" t="s">
        <v>1449</v>
      </c>
      <c r="D1394" s="1" t="s">
        <v>4751</v>
      </c>
      <c r="E1394" s="1" t="s">
        <v>4753</v>
      </c>
      <c r="F1394" s="3">
        <v>0</v>
      </c>
      <c r="G1394" s="8" t="s">
        <v>2772</v>
      </c>
      <c r="H1394" s="8" t="s">
        <v>5159</v>
      </c>
      <c r="I1394" s="3">
        <v>31</v>
      </c>
      <c r="J1394" s="3" t="s">
        <v>5587</v>
      </c>
      <c r="K1394" s="17" t="str">
        <f>HYPERLINK("http://ictvonline.org/taxonomyHistory.asp?taxnode_id=20171663","ICTVonline=20171663")</f>
        <v>ICTVonline=20171663</v>
      </c>
      <c r="L1394" s="3">
        <v>1393</v>
      </c>
    </row>
    <row r="1395" spans="1:12" x14ac:dyDescent="0.15">
      <c r="A1395" s="1" t="s">
        <v>1009</v>
      </c>
      <c r="B1395" s="1" t="s">
        <v>1449</v>
      </c>
      <c r="D1395" s="1" t="s">
        <v>4751</v>
      </c>
      <c r="E1395" s="1" t="s">
        <v>4754</v>
      </c>
      <c r="F1395" s="3">
        <v>0</v>
      </c>
      <c r="G1395" s="8" t="s">
        <v>2772</v>
      </c>
      <c r="H1395" s="8" t="s">
        <v>5159</v>
      </c>
      <c r="I1395" s="3">
        <v>31</v>
      </c>
      <c r="J1395" s="3" t="s">
        <v>5587</v>
      </c>
      <c r="K1395" s="17" t="str">
        <f>HYPERLINK("http://ictvonline.org/taxonomyHistory.asp?taxnode_id=20171664","ICTVonline=20171664")</f>
        <v>ICTVonline=20171664</v>
      </c>
      <c r="L1395" s="3">
        <v>1394</v>
      </c>
    </row>
    <row r="1396" spans="1:12" x14ac:dyDescent="0.15">
      <c r="A1396" s="1" t="s">
        <v>1009</v>
      </c>
      <c r="B1396" s="1" t="s">
        <v>1449</v>
      </c>
      <c r="D1396" s="1" t="s">
        <v>4751</v>
      </c>
      <c r="E1396" s="1" t="s">
        <v>4755</v>
      </c>
      <c r="F1396" s="3">
        <v>0</v>
      </c>
      <c r="G1396" s="8" t="s">
        <v>2772</v>
      </c>
      <c r="H1396" s="8" t="s">
        <v>5159</v>
      </c>
      <c r="I1396" s="3">
        <v>31</v>
      </c>
      <c r="J1396" s="3" t="s">
        <v>5587</v>
      </c>
      <c r="K1396" s="17" t="str">
        <f>HYPERLINK("http://ictvonline.org/taxonomyHistory.asp?taxnode_id=20171665","ICTVonline=20171665")</f>
        <v>ICTVonline=20171665</v>
      </c>
      <c r="L1396" s="3">
        <v>1395</v>
      </c>
    </row>
    <row r="1397" spans="1:12" x14ac:dyDescent="0.15">
      <c r="A1397" s="1" t="s">
        <v>1009</v>
      </c>
      <c r="B1397" s="1" t="s">
        <v>1449</v>
      </c>
      <c r="D1397" s="1" t="s">
        <v>1450</v>
      </c>
      <c r="E1397" s="1" t="s">
        <v>3675</v>
      </c>
      <c r="F1397" s="3">
        <v>0</v>
      </c>
      <c r="G1397" s="8" t="s">
        <v>2772</v>
      </c>
      <c r="H1397" s="8" t="s">
        <v>5159</v>
      </c>
      <c r="I1397" s="3">
        <v>30</v>
      </c>
      <c r="J1397" s="3" t="s">
        <v>5588</v>
      </c>
      <c r="K1397" s="17" t="str">
        <f>HYPERLINK("http://ictvonline.org/taxonomyHistory.asp?taxnode_id=20171667","ICTVonline=20171667")</f>
        <v>ICTVonline=20171667</v>
      </c>
      <c r="L1397" s="3">
        <v>1396</v>
      </c>
    </row>
    <row r="1398" spans="1:12" x14ac:dyDescent="0.15">
      <c r="A1398" s="1" t="s">
        <v>1009</v>
      </c>
      <c r="B1398" s="1" t="s">
        <v>1449</v>
      </c>
      <c r="D1398" s="1" t="s">
        <v>1450</v>
      </c>
      <c r="E1398" s="1" t="s">
        <v>3676</v>
      </c>
      <c r="F1398" s="3">
        <v>0</v>
      </c>
      <c r="G1398" s="8" t="s">
        <v>2772</v>
      </c>
      <c r="H1398" s="8" t="s">
        <v>5162</v>
      </c>
      <c r="I1398" s="3">
        <v>30</v>
      </c>
      <c r="J1398" s="3" t="s">
        <v>5589</v>
      </c>
      <c r="K1398" s="17" t="str">
        <f>HYPERLINK("http://ictvonline.org/taxonomyHistory.asp?taxnode_id=20171668","ICTVonline=20171668")</f>
        <v>ICTVonline=20171668</v>
      </c>
      <c r="L1398" s="3">
        <v>1397</v>
      </c>
    </row>
    <row r="1399" spans="1:12" x14ac:dyDescent="0.15">
      <c r="A1399" s="1" t="s">
        <v>1009</v>
      </c>
      <c r="B1399" s="1" t="s">
        <v>1449</v>
      </c>
      <c r="D1399" s="1" t="s">
        <v>1450</v>
      </c>
      <c r="E1399" s="1" t="s">
        <v>3677</v>
      </c>
      <c r="F1399" s="3">
        <v>0</v>
      </c>
      <c r="G1399" s="8" t="s">
        <v>2772</v>
      </c>
      <c r="H1399" s="8" t="s">
        <v>5162</v>
      </c>
      <c r="I1399" s="3">
        <v>30</v>
      </c>
      <c r="J1399" s="3" t="s">
        <v>5589</v>
      </c>
      <c r="K1399" s="17" t="str">
        <f>HYPERLINK("http://ictvonline.org/taxonomyHistory.asp?taxnode_id=20171669","ICTVonline=20171669")</f>
        <v>ICTVonline=20171669</v>
      </c>
      <c r="L1399" s="3">
        <v>1398</v>
      </c>
    </row>
    <row r="1400" spans="1:12" x14ac:dyDescent="0.15">
      <c r="A1400" s="1" t="s">
        <v>1009</v>
      </c>
      <c r="B1400" s="1" t="s">
        <v>1449</v>
      </c>
      <c r="D1400" s="1" t="s">
        <v>1450</v>
      </c>
      <c r="E1400" s="1" t="s">
        <v>4756</v>
      </c>
      <c r="F1400" s="3">
        <v>0</v>
      </c>
      <c r="G1400" s="8" t="s">
        <v>2772</v>
      </c>
      <c r="H1400" s="8" t="s">
        <v>5159</v>
      </c>
      <c r="I1400" s="3">
        <v>31</v>
      </c>
      <c r="J1400" s="3" t="s">
        <v>5590</v>
      </c>
      <c r="K1400" s="17" t="str">
        <f>HYPERLINK("http://ictvonline.org/taxonomyHistory.asp?taxnode_id=20171670","ICTVonline=20171670")</f>
        <v>ICTVonline=20171670</v>
      </c>
      <c r="L1400" s="3">
        <v>1399</v>
      </c>
    </row>
    <row r="1401" spans="1:12" x14ac:dyDescent="0.15">
      <c r="A1401" s="1" t="s">
        <v>1009</v>
      </c>
      <c r="B1401" s="1" t="s">
        <v>1449</v>
      </c>
      <c r="D1401" s="1" t="s">
        <v>1450</v>
      </c>
      <c r="E1401" s="1" t="s">
        <v>3678</v>
      </c>
      <c r="F1401" s="3">
        <v>0</v>
      </c>
      <c r="G1401" s="8" t="s">
        <v>2772</v>
      </c>
      <c r="H1401" s="8" t="s">
        <v>5162</v>
      </c>
      <c r="I1401" s="3">
        <v>30</v>
      </c>
      <c r="J1401" s="3" t="s">
        <v>5589</v>
      </c>
      <c r="K1401" s="17" t="str">
        <f>HYPERLINK("http://ictvonline.org/taxonomyHistory.asp?taxnode_id=20171671","ICTVonline=20171671")</f>
        <v>ICTVonline=20171671</v>
      </c>
      <c r="L1401" s="3">
        <v>1400</v>
      </c>
    </row>
    <row r="1402" spans="1:12" x14ac:dyDescent="0.15">
      <c r="A1402" s="1" t="s">
        <v>1009</v>
      </c>
      <c r="B1402" s="1" t="s">
        <v>1449</v>
      </c>
      <c r="D1402" s="1" t="s">
        <v>1450</v>
      </c>
      <c r="E1402" s="1" t="s">
        <v>3679</v>
      </c>
      <c r="F1402" s="3">
        <v>1</v>
      </c>
      <c r="G1402" s="8" t="s">
        <v>2772</v>
      </c>
      <c r="H1402" s="8" t="s">
        <v>5162</v>
      </c>
      <c r="I1402" s="3">
        <v>30</v>
      </c>
      <c r="J1402" s="3" t="s">
        <v>5589</v>
      </c>
      <c r="K1402" s="17" t="str">
        <f>HYPERLINK("http://ictvonline.org/taxonomyHistory.asp?taxnode_id=20171672","ICTVonline=20171672")</f>
        <v>ICTVonline=20171672</v>
      </c>
      <c r="L1402" s="3">
        <v>1401</v>
      </c>
    </row>
    <row r="1403" spans="1:12" x14ac:dyDescent="0.15">
      <c r="A1403" s="1" t="s">
        <v>1009</v>
      </c>
      <c r="B1403" s="1" t="s">
        <v>1449</v>
      </c>
      <c r="D1403" s="1" t="s">
        <v>1450</v>
      </c>
      <c r="E1403" s="1" t="s">
        <v>3680</v>
      </c>
      <c r="F1403" s="3">
        <v>0</v>
      </c>
      <c r="G1403" s="8" t="s">
        <v>2772</v>
      </c>
      <c r="H1403" s="8" t="s">
        <v>5162</v>
      </c>
      <c r="I1403" s="3">
        <v>30</v>
      </c>
      <c r="J1403" s="3" t="s">
        <v>5589</v>
      </c>
      <c r="K1403" s="17" t="str">
        <f>HYPERLINK("http://ictvonline.org/taxonomyHistory.asp?taxnode_id=20171673","ICTVonline=20171673")</f>
        <v>ICTVonline=20171673</v>
      </c>
      <c r="L1403" s="3">
        <v>1402</v>
      </c>
    </row>
    <row r="1404" spans="1:12" x14ac:dyDescent="0.15">
      <c r="A1404" s="1" t="s">
        <v>1009</v>
      </c>
      <c r="B1404" s="1" t="s">
        <v>1449</v>
      </c>
      <c r="D1404" s="1" t="s">
        <v>1450</v>
      </c>
      <c r="E1404" s="1" t="s">
        <v>3681</v>
      </c>
      <c r="F1404" s="3">
        <v>0</v>
      </c>
      <c r="G1404" s="8" t="s">
        <v>2772</v>
      </c>
      <c r="H1404" s="8" t="s">
        <v>5162</v>
      </c>
      <c r="I1404" s="3">
        <v>30</v>
      </c>
      <c r="J1404" s="3" t="s">
        <v>5589</v>
      </c>
      <c r="K1404" s="17" t="str">
        <f>HYPERLINK("http://ictvonline.org/taxonomyHistory.asp?taxnode_id=20171674","ICTVonline=20171674")</f>
        <v>ICTVonline=20171674</v>
      </c>
      <c r="L1404" s="3">
        <v>1403</v>
      </c>
    </row>
    <row r="1405" spans="1:12" x14ac:dyDescent="0.15">
      <c r="A1405" s="1" t="s">
        <v>1009</v>
      </c>
      <c r="B1405" s="1" t="s">
        <v>1449</v>
      </c>
      <c r="D1405" s="1" t="s">
        <v>1450</v>
      </c>
      <c r="E1405" s="1" t="s">
        <v>3682</v>
      </c>
      <c r="F1405" s="3">
        <v>0</v>
      </c>
      <c r="G1405" s="8" t="s">
        <v>2772</v>
      </c>
      <c r="H1405" s="8" t="s">
        <v>5162</v>
      </c>
      <c r="I1405" s="3">
        <v>30</v>
      </c>
      <c r="J1405" s="3" t="s">
        <v>5589</v>
      </c>
      <c r="K1405" s="17" t="str">
        <f>HYPERLINK("http://ictvonline.org/taxonomyHistory.asp?taxnode_id=20171675","ICTVonline=20171675")</f>
        <v>ICTVonline=20171675</v>
      </c>
      <c r="L1405" s="3">
        <v>1404</v>
      </c>
    </row>
    <row r="1406" spans="1:12" x14ac:dyDescent="0.15">
      <c r="A1406" s="1" t="s">
        <v>1009</v>
      </c>
      <c r="B1406" s="1" t="s">
        <v>1449</v>
      </c>
      <c r="D1406" s="1" t="s">
        <v>1450</v>
      </c>
      <c r="E1406" s="1" t="s">
        <v>3683</v>
      </c>
      <c r="F1406" s="3">
        <v>0</v>
      </c>
      <c r="G1406" s="8" t="s">
        <v>2772</v>
      </c>
      <c r="H1406" s="8" t="s">
        <v>5162</v>
      </c>
      <c r="I1406" s="3">
        <v>30</v>
      </c>
      <c r="J1406" s="3" t="s">
        <v>5589</v>
      </c>
      <c r="K1406" s="17" t="str">
        <f>HYPERLINK("http://ictvonline.org/taxonomyHistory.asp?taxnode_id=20171676","ICTVonline=20171676")</f>
        <v>ICTVonline=20171676</v>
      </c>
      <c r="L1406" s="3">
        <v>1405</v>
      </c>
    </row>
    <row r="1407" spans="1:12" x14ac:dyDescent="0.15">
      <c r="A1407" s="1" t="s">
        <v>1009</v>
      </c>
      <c r="B1407" s="1" t="s">
        <v>1449</v>
      </c>
      <c r="D1407" s="1" t="s">
        <v>1450</v>
      </c>
      <c r="E1407" s="1" t="s">
        <v>3684</v>
      </c>
      <c r="F1407" s="3">
        <v>0</v>
      </c>
      <c r="G1407" s="8" t="s">
        <v>2772</v>
      </c>
      <c r="H1407" s="8" t="s">
        <v>5162</v>
      </c>
      <c r="I1407" s="3">
        <v>30</v>
      </c>
      <c r="J1407" s="3" t="s">
        <v>5589</v>
      </c>
      <c r="K1407" s="17" t="str">
        <f>HYPERLINK("http://ictvonline.org/taxonomyHistory.asp?taxnode_id=20171677","ICTVonline=20171677")</f>
        <v>ICTVonline=20171677</v>
      </c>
      <c r="L1407" s="3">
        <v>1406</v>
      </c>
    </row>
    <row r="1408" spans="1:12" x14ac:dyDescent="0.15">
      <c r="A1408" s="1" t="s">
        <v>1009</v>
      </c>
      <c r="B1408" s="1" t="s">
        <v>1449</v>
      </c>
      <c r="D1408" s="1" t="s">
        <v>3685</v>
      </c>
      <c r="E1408" s="1" t="s">
        <v>3686</v>
      </c>
      <c r="F1408" s="3">
        <v>0</v>
      </c>
      <c r="G1408" s="8" t="s">
        <v>2772</v>
      </c>
      <c r="H1408" s="8" t="s">
        <v>5159</v>
      </c>
      <c r="I1408" s="3">
        <v>30</v>
      </c>
      <c r="J1408" s="3" t="s">
        <v>5591</v>
      </c>
      <c r="K1408" s="17" t="str">
        <f>HYPERLINK("http://ictvonline.org/taxonomyHistory.asp?taxnode_id=20171679","ICTVonline=20171679")</f>
        <v>ICTVonline=20171679</v>
      </c>
      <c r="L1408" s="3">
        <v>1407</v>
      </c>
    </row>
    <row r="1409" spans="1:12" x14ac:dyDescent="0.15">
      <c r="A1409" s="1" t="s">
        <v>1009</v>
      </c>
      <c r="B1409" s="1" t="s">
        <v>1449</v>
      </c>
      <c r="D1409" s="1" t="s">
        <v>3685</v>
      </c>
      <c r="E1409" s="1" t="s">
        <v>3687</v>
      </c>
      <c r="F1409" s="3">
        <v>1</v>
      </c>
      <c r="G1409" s="8" t="s">
        <v>2772</v>
      </c>
      <c r="H1409" s="8" t="s">
        <v>5159</v>
      </c>
      <c r="I1409" s="3">
        <v>30</v>
      </c>
      <c r="J1409" s="3" t="s">
        <v>5591</v>
      </c>
      <c r="K1409" s="17" t="str">
        <f>HYPERLINK("http://ictvonline.org/taxonomyHistory.asp?taxnode_id=20171680","ICTVonline=20171680")</f>
        <v>ICTVonline=20171680</v>
      </c>
      <c r="L1409" s="3">
        <v>1408</v>
      </c>
    </row>
    <row r="1410" spans="1:12" x14ac:dyDescent="0.15">
      <c r="A1410" s="1" t="s">
        <v>1009</v>
      </c>
      <c r="B1410" s="1" t="s">
        <v>1449</v>
      </c>
      <c r="D1410" s="1" t="s">
        <v>1388</v>
      </c>
      <c r="E1410" s="1" t="s">
        <v>3688</v>
      </c>
      <c r="F1410" s="3">
        <v>0</v>
      </c>
      <c r="G1410" s="8" t="s">
        <v>2772</v>
      </c>
      <c r="H1410" s="8" t="s">
        <v>5162</v>
      </c>
      <c r="I1410" s="3">
        <v>30</v>
      </c>
      <c r="J1410" s="3" t="s">
        <v>5589</v>
      </c>
      <c r="K1410" s="17" t="str">
        <f>HYPERLINK("http://ictvonline.org/taxonomyHistory.asp?taxnode_id=20171682","ICTVonline=20171682")</f>
        <v>ICTVonline=20171682</v>
      </c>
      <c r="L1410" s="3">
        <v>1409</v>
      </c>
    </row>
    <row r="1411" spans="1:12" x14ac:dyDescent="0.15">
      <c r="A1411" s="1" t="s">
        <v>1009</v>
      </c>
      <c r="B1411" s="1" t="s">
        <v>1449</v>
      </c>
      <c r="D1411" s="1" t="s">
        <v>1388</v>
      </c>
      <c r="E1411" s="1" t="s">
        <v>3689</v>
      </c>
      <c r="F1411" s="3">
        <v>0</v>
      </c>
      <c r="G1411" s="8" t="s">
        <v>2772</v>
      </c>
      <c r="H1411" s="8" t="s">
        <v>5162</v>
      </c>
      <c r="I1411" s="3">
        <v>30</v>
      </c>
      <c r="J1411" s="3" t="s">
        <v>5589</v>
      </c>
      <c r="K1411" s="17" t="str">
        <f>HYPERLINK("http://ictvonline.org/taxonomyHistory.asp?taxnode_id=20171683","ICTVonline=20171683")</f>
        <v>ICTVonline=20171683</v>
      </c>
      <c r="L1411" s="3">
        <v>1410</v>
      </c>
    </row>
    <row r="1412" spans="1:12" x14ac:dyDescent="0.15">
      <c r="A1412" s="1" t="s">
        <v>1009</v>
      </c>
      <c r="B1412" s="1" t="s">
        <v>1449</v>
      </c>
      <c r="D1412" s="1" t="s">
        <v>1388</v>
      </c>
      <c r="E1412" s="1" t="s">
        <v>3690</v>
      </c>
      <c r="F1412" s="3">
        <v>1</v>
      </c>
      <c r="G1412" s="8" t="s">
        <v>2772</v>
      </c>
      <c r="H1412" s="8" t="s">
        <v>5162</v>
      </c>
      <c r="I1412" s="3">
        <v>30</v>
      </c>
      <c r="J1412" s="3" t="s">
        <v>5589</v>
      </c>
      <c r="K1412" s="17" t="str">
        <f>HYPERLINK("http://ictvonline.org/taxonomyHistory.asp?taxnode_id=20171684","ICTVonline=20171684")</f>
        <v>ICTVonline=20171684</v>
      </c>
      <c r="L1412" s="3">
        <v>1411</v>
      </c>
    </row>
    <row r="1413" spans="1:12" x14ac:dyDescent="0.15">
      <c r="A1413" s="1" t="s">
        <v>1009</v>
      </c>
      <c r="B1413" s="1" t="s">
        <v>1449</v>
      </c>
      <c r="D1413" s="1" t="s">
        <v>1388</v>
      </c>
      <c r="E1413" s="1" t="s">
        <v>4757</v>
      </c>
      <c r="F1413" s="3">
        <v>0</v>
      </c>
      <c r="G1413" s="8" t="s">
        <v>2772</v>
      </c>
      <c r="H1413" s="8" t="s">
        <v>5159</v>
      </c>
      <c r="I1413" s="3">
        <v>31</v>
      </c>
      <c r="J1413" s="3" t="s">
        <v>5592</v>
      </c>
      <c r="K1413" s="17" t="str">
        <f>HYPERLINK("http://ictvonline.org/taxonomyHistory.asp?taxnode_id=20171685","ICTVonline=20171685")</f>
        <v>ICTVonline=20171685</v>
      </c>
      <c r="L1413" s="3">
        <v>1412</v>
      </c>
    </row>
    <row r="1414" spans="1:12" x14ac:dyDescent="0.15">
      <c r="A1414" s="1" t="s">
        <v>1009</v>
      </c>
      <c r="B1414" s="1" t="s">
        <v>1449</v>
      </c>
      <c r="D1414" s="1" t="s">
        <v>1388</v>
      </c>
      <c r="E1414" s="1" t="s">
        <v>4758</v>
      </c>
      <c r="F1414" s="3">
        <v>0</v>
      </c>
      <c r="G1414" s="8" t="s">
        <v>2772</v>
      </c>
      <c r="H1414" s="8" t="s">
        <v>5159</v>
      </c>
      <c r="I1414" s="3">
        <v>31</v>
      </c>
      <c r="J1414" s="3" t="s">
        <v>5592</v>
      </c>
      <c r="K1414" s="17" t="str">
        <f>HYPERLINK("http://ictvonline.org/taxonomyHistory.asp?taxnode_id=20171686","ICTVonline=20171686")</f>
        <v>ICTVonline=20171686</v>
      </c>
      <c r="L1414" s="3">
        <v>1413</v>
      </c>
    </row>
    <row r="1415" spans="1:12" x14ac:dyDescent="0.15">
      <c r="A1415" s="1" t="s">
        <v>1009</v>
      </c>
      <c r="B1415" s="1" t="s">
        <v>1449</v>
      </c>
      <c r="D1415" s="1" t="s">
        <v>1388</v>
      </c>
      <c r="E1415" s="1" t="s">
        <v>4191</v>
      </c>
      <c r="F1415" s="3">
        <v>0</v>
      </c>
      <c r="G1415" s="8" t="s">
        <v>2772</v>
      </c>
      <c r="H1415" s="8" t="s">
        <v>5162</v>
      </c>
      <c r="I1415" s="3">
        <v>30</v>
      </c>
      <c r="J1415" s="3" t="s">
        <v>5589</v>
      </c>
      <c r="K1415" s="17" t="str">
        <f>HYPERLINK("http://ictvonline.org/taxonomyHistory.asp?taxnode_id=20171687","ICTVonline=20171687")</f>
        <v>ICTVonline=20171687</v>
      </c>
      <c r="L1415" s="3">
        <v>1414</v>
      </c>
    </row>
    <row r="1416" spans="1:12" x14ac:dyDescent="0.15">
      <c r="A1416" s="1" t="s">
        <v>1009</v>
      </c>
      <c r="B1416" s="1" t="s">
        <v>1449</v>
      </c>
      <c r="D1416" s="1" t="s">
        <v>1388</v>
      </c>
      <c r="E1416" s="1" t="s">
        <v>3691</v>
      </c>
      <c r="F1416" s="3">
        <v>0</v>
      </c>
      <c r="G1416" s="8" t="s">
        <v>2772</v>
      </c>
      <c r="H1416" s="8" t="s">
        <v>5162</v>
      </c>
      <c r="I1416" s="3">
        <v>30</v>
      </c>
      <c r="J1416" s="3" t="s">
        <v>5589</v>
      </c>
      <c r="K1416" s="17" t="str">
        <f>HYPERLINK("http://ictvonline.org/taxonomyHistory.asp?taxnode_id=20171688","ICTVonline=20171688")</f>
        <v>ICTVonline=20171688</v>
      </c>
      <c r="L1416" s="3">
        <v>1415</v>
      </c>
    </row>
    <row r="1417" spans="1:12" x14ac:dyDescent="0.15">
      <c r="A1417" s="1" t="s">
        <v>1009</v>
      </c>
      <c r="B1417" s="1" t="s">
        <v>1449</v>
      </c>
      <c r="D1417" s="1" t="s">
        <v>1388</v>
      </c>
      <c r="E1417" s="1" t="s">
        <v>4759</v>
      </c>
      <c r="F1417" s="3">
        <v>0</v>
      </c>
      <c r="G1417" s="8" t="s">
        <v>2772</v>
      </c>
      <c r="H1417" s="8" t="s">
        <v>5159</v>
      </c>
      <c r="I1417" s="3">
        <v>31</v>
      </c>
      <c r="J1417" s="3" t="s">
        <v>5592</v>
      </c>
      <c r="K1417" s="17" t="str">
        <f>HYPERLINK("http://ictvonline.org/taxonomyHistory.asp?taxnode_id=20171689","ICTVonline=20171689")</f>
        <v>ICTVonline=20171689</v>
      </c>
      <c r="L1417" s="3">
        <v>1416</v>
      </c>
    </row>
    <row r="1418" spans="1:12" x14ac:dyDescent="0.15">
      <c r="A1418" s="1" t="s">
        <v>1009</v>
      </c>
      <c r="B1418" s="1" t="s">
        <v>1449</v>
      </c>
      <c r="D1418" s="1" t="s">
        <v>4294</v>
      </c>
      <c r="E1418" s="1" t="s">
        <v>4295</v>
      </c>
      <c r="F1418" s="3">
        <v>1</v>
      </c>
      <c r="G1418" s="8" t="s">
        <v>2772</v>
      </c>
      <c r="H1418" s="8" t="s">
        <v>5160</v>
      </c>
      <c r="I1418" s="3">
        <v>31</v>
      </c>
      <c r="J1418" s="3" t="s">
        <v>5593</v>
      </c>
      <c r="K1418" s="17" t="str">
        <f>HYPERLINK("http://ictvonline.org/taxonomyHistory.asp?taxnode_id=20171691","ICTVonline=20171691")</f>
        <v>ICTVonline=20171691</v>
      </c>
      <c r="L1418" s="3">
        <v>1417</v>
      </c>
    </row>
    <row r="1419" spans="1:12" x14ac:dyDescent="0.15">
      <c r="A1419" s="1" t="s">
        <v>1009</v>
      </c>
      <c r="B1419" s="1" t="s">
        <v>1449</v>
      </c>
      <c r="D1419" s="1" t="s">
        <v>4294</v>
      </c>
      <c r="E1419" s="1" t="s">
        <v>4760</v>
      </c>
      <c r="F1419" s="3">
        <v>0</v>
      </c>
      <c r="G1419" s="8" t="s">
        <v>2772</v>
      </c>
      <c r="H1419" s="8" t="s">
        <v>5159</v>
      </c>
      <c r="I1419" s="3">
        <v>31</v>
      </c>
      <c r="J1419" s="3" t="s">
        <v>5593</v>
      </c>
      <c r="K1419" s="17" t="str">
        <f>HYPERLINK("http://ictvonline.org/taxonomyHistory.asp?taxnode_id=20171692","ICTVonline=20171692")</f>
        <v>ICTVonline=20171692</v>
      </c>
      <c r="L1419" s="3">
        <v>1418</v>
      </c>
    </row>
    <row r="1420" spans="1:12" x14ac:dyDescent="0.15">
      <c r="A1420" s="1" t="s">
        <v>1009</v>
      </c>
      <c r="B1420" s="1" t="s">
        <v>1449</v>
      </c>
      <c r="D1420" s="1" t="s">
        <v>4294</v>
      </c>
      <c r="E1420" s="1" t="s">
        <v>4761</v>
      </c>
      <c r="F1420" s="3">
        <v>0</v>
      </c>
      <c r="G1420" s="8" t="s">
        <v>2772</v>
      </c>
      <c r="H1420" s="8" t="s">
        <v>5159</v>
      </c>
      <c r="I1420" s="3">
        <v>31</v>
      </c>
      <c r="J1420" s="3" t="s">
        <v>5593</v>
      </c>
      <c r="K1420" s="17" t="str">
        <f>HYPERLINK("http://ictvonline.org/taxonomyHistory.asp?taxnode_id=20171693","ICTVonline=20171693")</f>
        <v>ICTVonline=20171693</v>
      </c>
      <c r="L1420" s="3">
        <v>1419</v>
      </c>
    </row>
    <row r="1421" spans="1:12" x14ac:dyDescent="0.15">
      <c r="A1421" s="1" t="s">
        <v>1009</v>
      </c>
      <c r="B1421" s="1" t="s">
        <v>1449</v>
      </c>
      <c r="D1421" s="1" t="s">
        <v>4294</v>
      </c>
      <c r="E1421" s="1" t="s">
        <v>4762</v>
      </c>
      <c r="F1421" s="3">
        <v>0</v>
      </c>
      <c r="G1421" s="8" t="s">
        <v>2772</v>
      </c>
      <c r="H1421" s="8" t="s">
        <v>5159</v>
      </c>
      <c r="I1421" s="3">
        <v>31</v>
      </c>
      <c r="J1421" s="3" t="s">
        <v>5593</v>
      </c>
      <c r="K1421" s="17" t="str">
        <f>HYPERLINK("http://ictvonline.org/taxonomyHistory.asp?taxnode_id=20171694","ICTVonline=20171694")</f>
        <v>ICTVonline=20171694</v>
      </c>
      <c r="L1421" s="3">
        <v>1420</v>
      </c>
    </row>
    <row r="1422" spans="1:12" x14ac:dyDescent="0.15">
      <c r="A1422" s="1" t="s">
        <v>1009</v>
      </c>
      <c r="B1422" s="1" t="s">
        <v>1449</v>
      </c>
      <c r="D1422" s="1" t="s">
        <v>4294</v>
      </c>
      <c r="E1422" s="1" t="s">
        <v>4763</v>
      </c>
      <c r="F1422" s="3">
        <v>0</v>
      </c>
      <c r="G1422" s="8" t="s">
        <v>2772</v>
      </c>
      <c r="H1422" s="8" t="s">
        <v>5159</v>
      </c>
      <c r="I1422" s="3">
        <v>31</v>
      </c>
      <c r="J1422" s="3" t="s">
        <v>5593</v>
      </c>
      <c r="K1422" s="17" t="str">
        <f>HYPERLINK("http://ictvonline.org/taxonomyHistory.asp?taxnode_id=20171695","ICTVonline=20171695")</f>
        <v>ICTVonline=20171695</v>
      </c>
      <c r="L1422" s="3">
        <v>1421</v>
      </c>
    </row>
    <row r="1423" spans="1:12" x14ac:dyDescent="0.15">
      <c r="A1423" s="1" t="s">
        <v>1009</v>
      </c>
      <c r="B1423" s="1" t="s">
        <v>1449</v>
      </c>
      <c r="D1423" s="1" t="s">
        <v>4294</v>
      </c>
      <c r="E1423" s="1" t="s">
        <v>4764</v>
      </c>
      <c r="F1423" s="3">
        <v>0</v>
      </c>
      <c r="G1423" s="8" t="s">
        <v>2772</v>
      </c>
      <c r="H1423" s="8" t="s">
        <v>5159</v>
      </c>
      <c r="I1423" s="3">
        <v>31</v>
      </c>
      <c r="J1423" s="3" t="s">
        <v>5593</v>
      </c>
      <c r="K1423" s="17" t="str">
        <f>HYPERLINK("http://ictvonline.org/taxonomyHistory.asp?taxnode_id=20171696","ICTVonline=20171696")</f>
        <v>ICTVonline=20171696</v>
      </c>
      <c r="L1423" s="3">
        <v>1422</v>
      </c>
    </row>
    <row r="1424" spans="1:12" x14ac:dyDescent="0.15">
      <c r="A1424" s="1" t="s">
        <v>1009</v>
      </c>
      <c r="B1424" s="1" t="s">
        <v>1449</v>
      </c>
      <c r="D1424" s="1" t="s">
        <v>4294</v>
      </c>
      <c r="E1424" s="1" t="s">
        <v>4765</v>
      </c>
      <c r="F1424" s="3">
        <v>0</v>
      </c>
      <c r="G1424" s="8" t="s">
        <v>2772</v>
      </c>
      <c r="H1424" s="8" t="s">
        <v>5159</v>
      </c>
      <c r="I1424" s="3">
        <v>31</v>
      </c>
      <c r="J1424" s="3" t="s">
        <v>5593</v>
      </c>
      <c r="K1424" s="17" t="str">
        <f>HYPERLINK("http://ictvonline.org/taxonomyHistory.asp?taxnode_id=20171697","ICTVonline=20171697")</f>
        <v>ICTVonline=20171697</v>
      </c>
      <c r="L1424" s="3">
        <v>1423</v>
      </c>
    </row>
    <row r="1425" spans="1:12" x14ac:dyDescent="0.15">
      <c r="A1425" s="1" t="s">
        <v>1009</v>
      </c>
      <c r="B1425" s="1" t="s">
        <v>1449</v>
      </c>
      <c r="D1425" s="1" t="s">
        <v>4294</v>
      </c>
      <c r="E1425" s="1" t="s">
        <v>4766</v>
      </c>
      <c r="F1425" s="3">
        <v>0</v>
      </c>
      <c r="G1425" s="8" t="s">
        <v>2772</v>
      </c>
      <c r="H1425" s="8" t="s">
        <v>5159</v>
      </c>
      <c r="I1425" s="3">
        <v>31</v>
      </c>
      <c r="J1425" s="3" t="s">
        <v>5593</v>
      </c>
      <c r="K1425" s="17" t="str">
        <f>HYPERLINK("http://ictvonline.org/taxonomyHistory.asp?taxnode_id=20171698","ICTVonline=20171698")</f>
        <v>ICTVonline=20171698</v>
      </c>
      <c r="L1425" s="3">
        <v>1424</v>
      </c>
    </row>
    <row r="1426" spans="1:12" x14ac:dyDescent="0.15">
      <c r="A1426" s="1" t="s">
        <v>1009</v>
      </c>
      <c r="B1426" s="1" t="s">
        <v>1449</v>
      </c>
      <c r="D1426" s="1" t="s">
        <v>4294</v>
      </c>
      <c r="E1426" s="1" t="s">
        <v>4767</v>
      </c>
      <c r="F1426" s="3">
        <v>0</v>
      </c>
      <c r="G1426" s="8" t="s">
        <v>2772</v>
      </c>
      <c r="H1426" s="8" t="s">
        <v>5159</v>
      </c>
      <c r="I1426" s="3">
        <v>31</v>
      </c>
      <c r="J1426" s="3" t="s">
        <v>5593</v>
      </c>
      <c r="K1426" s="17" t="str">
        <f>HYPERLINK("http://ictvonline.org/taxonomyHistory.asp?taxnode_id=20171699","ICTVonline=20171699")</f>
        <v>ICTVonline=20171699</v>
      </c>
      <c r="L1426" s="3">
        <v>1425</v>
      </c>
    </row>
    <row r="1427" spans="1:12" x14ac:dyDescent="0.15">
      <c r="A1427" s="1" t="s">
        <v>1009</v>
      </c>
      <c r="B1427" s="1" t="s">
        <v>1449</v>
      </c>
      <c r="D1427" s="1" t="s">
        <v>4294</v>
      </c>
      <c r="E1427" s="1" t="s">
        <v>4768</v>
      </c>
      <c r="F1427" s="3">
        <v>0</v>
      </c>
      <c r="G1427" s="8" t="s">
        <v>2772</v>
      </c>
      <c r="H1427" s="8" t="s">
        <v>5159</v>
      </c>
      <c r="I1427" s="3">
        <v>31</v>
      </c>
      <c r="J1427" s="3" t="s">
        <v>5593</v>
      </c>
      <c r="K1427" s="17" t="str">
        <f>HYPERLINK("http://ictvonline.org/taxonomyHistory.asp?taxnode_id=20171700","ICTVonline=20171700")</f>
        <v>ICTVonline=20171700</v>
      </c>
      <c r="L1427" s="3">
        <v>1426</v>
      </c>
    </row>
    <row r="1428" spans="1:12" x14ac:dyDescent="0.15">
      <c r="A1428" s="1" t="s">
        <v>1009</v>
      </c>
      <c r="B1428" s="1" t="s">
        <v>1449</v>
      </c>
      <c r="D1428" s="1" t="s">
        <v>4294</v>
      </c>
      <c r="E1428" s="1" t="s">
        <v>4769</v>
      </c>
      <c r="F1428" s="3">
        <v>0</v>
      </c>
      <c r="G1428" s="8" t="s">
        <v>2772</v>
      </c>
      <c r="H1428" s="8" t="s">
        <v>5159</v>
      </c>
      <c r="I1428" s="3">
        <v>31</v>
      </c>
      <c r="J1428" s="3" t="s">
        <v>5593</v>
      </c>
      <c r="K1428" s="17" t="str">
        <f>HYPERLINK("http://ictvonline.org/taxonomyHistory.asp?taxnode_id=20171701","ICTVonline=20171701")</f>
        <v>ICTVonline=20171701</v>
      </c>
      <c r="L1428" s="3">
        <v>1427</v>
      </c>
    </row>
    <row r="1429" spans="1:12" x14ac:dyDescent="0.15">
      <c r="A1429" s="1" t="s">
        <v>1009</v>
      </c>
      <c r="B1429" s="1" t="s">
        <v>1449</v>
      </c>
      <c r="D1429" s="1" t="s">
        <v>4294</v>
      </c>
      <c r="E1429" s="1" t="s">
        <v>4296</v>
      </c>
      <c r="F1429" s="3">
        <v>0</v>
      </c>
      <c r="G1429" s="8" t="s">
        <v>2772</v>
      </c>
      <c r="H1429" s="8" t="s">
        <v>5160</v>
      </c>
      <c r="I1429" s="3">
        <v>31</v>
      </c>
      <c r="J1429" s="3" t="s">
        <v>5593</v>
      </c>
      <c r="K1429" s="17" t="str">
        <f>HYPERLINK("http://ictvonline.org/taxonomyHistory.asp?taxnode_id=20171702","ICTVonline=20171702")</f>
        <v>ICTVonline=20171702</v>
      </c>
      <c r="L1429" s="3">
        <v>1428</v>
      </c>
    </row>
    <row r="1430" spans="1:12" x14ac:dyDescent="0.15">
      <c r="A1430" s="1" t="s">
        <v>1009</v>
      </c>
      <c r="B1430" s="1" t="s">
        <v>1449</v>
      </c>
      <c r="D1430" s="1" t="s">
        <v>4294</v>
      </c>
      <c r="E1430" s="1" t="s">
        <v>4770</v>
      </c>
      <c r="F1430" s="3">
        <v>0</v>
      </c>
      <c r="G1430" s="8" t="s">
        <v>2772</v>
      </c>
      <c r="H1430" s="8" t="s">
        <v>5159</v>
      </c>
      <c r="I1430" s="3">
        <v>31</v>
      </c>
      <c r="J1430" s="3" t="s">
        <v>5593</v>
      </c>
      <c r="K1430" s="17" t="str">
        <f>HYPERLINK("http://ictvonline.org/taxonomyHistory.asp?taxnode_id=20171703","ICTVonline=20171703")</f>
        <v>ICTVonline=20171703</v>
      </c>
      <c r="L1430" s="3">
        <v>1429</v>
      </c>
    </row>
    <row r="1431" spans="1:12" x14ac:dyDescent="0.15">
      <c r="A1431" s="1" t="s">
        <v>1009</v>
      </c>
      <c r="B1431" s="1" t="s">
        <v>1449</v>
      </c>
      <c r="D1431" s="1" t="s">
        <v>4294</v>
      </c>
      <c r="E1431" s="1" t="s">
        <v>4771</v>
      </c>
      <c r="F1431" s="3">
        <v>0</v>
      </c>
      <c r="G1431" s="8" t="s">
        <v>2772</v>
      </c>
      <c r="H1431" s="8" t="s">
        <v>5159</v>
      </c>
      <c r="I1431" s="3">
        <v>31</v>
      </c>
      <c r="J1431" s="3" t="s">
        <v>5593</v>
      </c>
      <c r="K1431" s="17" t="str">
        <f>HYPERLINK("http://ictvonline.org/taxonomyHistory.asp?taxnode_id=20171704","ICTVonline=20171704")</f>
        <v>ICTVonline=20171704</v>
      </c>
      <c r="L1431" s="3">
        <v>1430</v>
      </c>
    </row>
    <row r="1432" spans="1:12" x14ac:dyDescent="0.15">
      <c r="A1432" s="1" t="s">
        <v>1009</v>
      </c>
      <c r="B1432" s="1" t="s">
        <v>1449</v>
      </c>
      <c r="D1432" s="1" t="s">
        <v>4294</v>
      </c>
      <c r="E1432" s="1" t="s">
        <v>4297</v>
      </c>
      <c r="F1432" s="3">
        <v>0</v>
      </c>
      <c r="G1432" s="8" t="s">
        <v>2772</v>
      </c>
      <c r="H1432" s="8" t="s">
        <v>5160</v>
      </c>
      <c r="I1432" s="3">
        <v>31</v>
      </c>
      <c r="J1432" s="3" t="s">
        <v>5593</v>
      </c>
      <c r="K1432" s="17" t="str">
        <f>HYPERLINK("http://ictvonline.org/taxonomyHistory.asp?taxnode_id=20171705","ICTVonline=20171705")</f>
        <v>ICTVonline=20171705</v>
      </c>
      <c r="L1432" s="3">
        <v>1431</v>
      </c>
    </row>
    <row r="1433" spans="1:12" x14ac:dyDescent="0.15">
      <c r="A1433" s="1" t="s">
        <v>1009</v>
      </c>
      <c r="B1433" s="1" t="s">
        <v>1449</v>
      </c>
      <c r="D1433" s="1" t="s">
        <v>4772</v>
      </c>
      <c r="E1433" s="1" t="s">
        <v>4773</v>
      </c>
      <c r="F1433" s="3">
        <v>0</v>
      </c>
      <c r="G1433" s="8" t="s">
        <v>2772</v>
      </c>
      <c r="H1433" s="8" t="s">
        <v>5159</v>
      </c>
      <c r="I1433" s="3">
        <v>31</v>
      </c>
      <c r="J1433" s="3" t="s">
        <v>5594</v>
      </c>
      <c r="K1433" s="17" t="str">
        <f>HYPERLINK("http://ictvonline.org/taxonomyHistory.asp?taxnode_id=20171707","ICTVonline=20171707")</f>
        <v>ICTVonline=20171707</v>
      </c>
      <c r="L1433" s="3">
        <v>1432</v>
      </c>
    </row>
    <row r="1434" spans="1:12" x14ac:dyDescent="0.15">
      <c r="A1434" s="1" t="s">
        <v>1009</v>
      </c>
      <c r="B1434" s="1" t="s">
        <v>1449</v>
      </c>
      <c r="D1434" s="1" t="s">
        <v>4772</v>
      </c>
      <c r="E1434" s="1" t="s">
        <v>4774</v>
      </c>
      <c r="F1434" s="3">
        <v>0</v>
      </c>
      <c r="G1434" s="8" t="s">
        <v>2772</v>
      </c>
      <c r="H1434" s="8" t="s">
        <v>5159</v>
      </c>
      <c r="I1434" s="3">
        <v>31</v>
      </c>
      <c r="J1434" s="3" t="s">
        <v>5594</v>
      </c>
      <c r="K1434" s="17" t="str">
        <f>HYPERLINK("http://ictvonline.org/taxonomyHistory.asp?taxnode_id=20171708","ICTVonline=20171708")</f>
        <v>ICTVonline=20171708</v>
      </c>
      <c r="L1434" s="3">
        <v>1433</v>
      </c>
    </row>
    <row r="1435" spans="1:12" x14ac:dyDescent="0.15">
      <c r="A1435" s="1" t="s">
        <v>1009</v>
      </c>
      <c r="B1435" s="1" t="s">
        <v>1449</v>
      </c>
      <c r="D1435" s="1" t="s">
        <v>4772</v>
      </c>
      <c r="E1435" s="1" t="s">
        <v>4775</v>
      </c>
      <c r="F1435" s="3">
        <v>0</v>
      </c>
      <c r="G1435" s="8" t="s">
        <v>2772</v>
      </c>
      <c r="H1435" s="8" t="s">
        <v>5159</v>
      </c>
      <c r="I1435" s="3">
        <v>31</v>
      </c>
      <c r="J1435" s="3" t="s">
        <v>5594</v>
      </c>
      <c r="K1435" s="17" t="str">
        <f>HYPERLINK("http://ictvonline.org/taxonomyHistory.asp?taxnode_id=20171709","ICTVonline=20171709")</f>
        <v>ICTVonline=20171709</v>
      </c>
      <c r="L1435" s="3">
        <v>1434</v>
      </c>
    </row>
    <row r="1436" spans="1:12" x14ac:dyDescent="0.15">
      <c r="A1436" s="1" t="s">
        <v>1009</v>
      </c>
      <c r="B1436" s="1" t="s">
        <v>1449</v>
      </c>
      <c r="D1436" s="1" t="s">
        <v>4772</v>
      </c>
      <c r="E1436" s="1" t="s">
        <v>5595</v>
      </c>
      <c r="F1436" s="3">
        <v>0</v>
      </c>
      <c r="G1436" s="8" t="s">
        <v>2772</v>
      </c>
      <c r="H1436" s="8" t="s">
        <v>5159</v>
      </c>
      <c r="I1436" s="3">
        <v>32</v>
      </c>
      <c r="J1436" s="3" t="s">
        <v>5596</v>
      </c>
      <c r="K1436" s="17" t="str">
        <f>HYPERLINK("http://ictvonline.org/taxonomyHistory.asp?taxnode_id=20175580","ICTVonline=20175580")</f>
        <v>ICTVonline=20175580</v>
      </c>
      <c r="L1436" s="3">
        <v>1435</v>
      </c>
    </row>
    <row r="1437" spans="1:12" x14ac:dyDescent="0.15">
      <c r="A1437" s="1" t="s">
        <v>1009</v>
      </c>
      <c r="B1437" s="1" t="s">
        <v>1449</v>
      </c>
      <c r="D1437" s="1" t="s">
        <v>4772</v>
      </c>
      <c r="E1437" s="1" t="s">
        <v>4776</v>
      </c>
      <c r="F1437" s="3">
        <v>0</v>
      </c>
      <c r="G1437" s="8" t="s">
        <v>2772</v>
      </c>
      <c r="H1437" s="8" t="s">
        <v>5159</v>
      </c>
      <c r="I1437" s="3">
        <v>31</v>
      </c>
      <c r="J1437" s="3" t="s">
        <v>5594</v>
      </c>
      <c r="K1437" s="17" t="str">
        <f>HYPERLINK("http://ictvonline.org/taxonomyHistory.asp?taxnode_id=20171710","ICTVonline=20171710")</f>
        <v>ICTVonline=20171710</v>
      </c>
      <c r="L1437" s="3">
        <v>1436</v>
      </c>
    </row>
    <row r="1438" spans="1:12" x14ac:dyDescent="0.15">
      <c r="A1438" s="1" t="s">
        <v>1009</v>
      </c>
      <c r="B1438" s="1" t="s">
        <v>1449</v>
      </c>
      <c r="D1438" s="1" t="s">
        <v>4772</v>
      </c>
      <c r="E1438" s="1" t="s">
        <v>4777</v>
      </c>
      <c r="F1438" s="3">
        <v>0</v>
      </c>
      <c r="G1438" s="8" t="s">
        <v>2772</v>
      </c>
      <c r="H1438" s="8" t="s">
        <v>5159</v>
      </c>
      <c r="I1438" s="3">
        <v>31</v>
      </c>
      <c r="J1438" s="3" t="s">
        <v>5594</v>
      </c>
      <c r="K1438" s="17" t="str">
        <f>HYPERLINK("http://ictvonline.org/taxonomyHistory.asp?taxnode_id=20171711","ICTVonline=20171711")</f>
        <v>ICTVonline=20171711</v>
      </c>
      <c r="L1438" s="3">
        <v>1437</v>
      </c>
    </row>
    <row r="1439" spans="1:12" x14ac:dyDescent="0.15">
      <c r="A1439" s="1" t="s">
        <v>1009</v>
      </c>
      <c r="B1439" s="1" t="s">
        <v>1449</v>
      </c>
      <c r="D1439" s="1" t="s">
        <v>4772</v>
      </c>
      <c r="E1439" s="1" t="s">
        <v>4778</v>
      </c>
      <c r="F1439" s="3">
        <v>0</v>
      </c>
      <c r="G1439" s="8" t="s">
        <v>2772</v>
      </c>
      <c r="H1439" s="8" t="s">
        <v>5159</v>
      </c>
      <c r="I1439" s="3">
        <v>31</v>
      </c>
      <c r="J1439" s="3" t="s">
        <v>5594</v>
      </c>
      <c r="K1439" s="17" t="str">
        <f>HYPERLINK("http://ictvonline.org/taxonomyHistory.asp?taxnode_id=20171712","ICTVonline=20171712")</f>
        <v>ICTVonline=20171712</v>
      </c>
      <c r="L1439" s="3">
        <v>1438</v>
      </c>
    </row>
    <row r="1440" spans="1:12" x14ac:dyDescent="0.15">
      <c r="A1440" s="1" t="s">
        <v>1009</v>
      </c>
      <c r="B1440" s="1" t="s">
        <v>1449</v>
      </c>
      <c r="D1440" s="1" t="s">
        <v>4772</v>
      </c>
      <c r="E1440" s="1" t="s">
        <v>4779</v>
      </c>
      <c r="F1440" s="3">
        <v>0</v>
      </c>
      <c r="G1440" s="8" t="s">
        <v>2772</v>
      </c>
      <c r="H1440" s="8" t="s">
        <v>5159</v>
      </c>
      <c r="I1440" s="3">
        <v>31</v>
      </c>
      <c r="J1440" s="3" t="s">
        <v>5594</v>
      </c>
      <c r="K1440" s="17" t="str">
        <f>HYPERLINK("http://ictvonline.org/taxonomyHistory.asp?taxnode_id=20171713","ICTVonline=20171713")</f>
        <v>ICTVonline=20171713</v>
      </c>
      <c r="L1440" s="3">
        <v>1439</v>
      </c>
    </row>
    <row r="1441" spans="1:12" x14ac:dyDescent="0.15">
      <c r="A1441" s="1" t="s">
        <v>1009</v>
      </c>
      <c r="B1441" s="1" t="s">
        <v>1449</v>
      </c>
      <c r="D1441" s="1" t="s">
        <v>4772</v>
      </c>
      <c r="E1441" s="1" t="s">
        <v>4780</v>
      </c>
      <c r="F1441" s="3">
        <v>1</v>
      </c>
      <c r="G1441" s="8" t="s">
        <v>2772</v>
      </c>
      <c r="H1441" s="8" t="s">
        <v>5159</v>
      </c>
      <c r="I1441" s="3">
        <v>31</v>
      </c>
      <c r="J1441" s="3" t="s">
        <v>5594</v>
      </c>
      <c r="K1441" s="17" t="str">
        <f>HYPERLINK("http://ictvonline.org/taxonomyHistory.asp?taxnode_id=20171714","ICTVonline=20171714")</f>
        <v>ICTVonline=20171714</v>
      </c>
      <c r="L1441" s="3">
        <v>1440</v>
      </c>
    </row>
    <row r="1442" spans="1:12" x14ac:dyDescent="0.15">
      <c r="A1442" s="1" t="s">
        <v>1009</v>
      </c>
      <c r="B1442" s="1" t="s">
        <v>1449</v>
      </c>
      <c r="D1442" s="1" t="s">
        <v>4772</v>
      </c>
      <c r="E1442" s="1" t="s">
        <v>4781</v>
      </c>
      <c r="F1442" s="3">
        <v>0</v>
      </c>
      <c r="G1442" s="8" t="s">
        <v>2772</v>
      </c>
      <c r="H1442" s="8" t="s">
        <v>5159</v>
      </c>
      <c r="I1442" s="3">
        <v>31</v>
      </c>
      <c r="J1442" s="3" t="s">
        <v>5594</v>
      </c>
      <c r="K1442" s="17" t="str">
        <f>HYPERLINK("http://ictvonline.org/taxonomyHistory.asp?taxnode_id=20171715","ICTVonline=20171715")</f>
        <v>ICTVonline=20171715</v>
      </c>
      <c r="L1442" s="3">
        <v>1441</v>
      </c>
    </row>
    <row r="1443" spans="1:12" x14ac:dyDescent="0.15">
      <c r="A1443" s="1" t="s">
        <v>1009</v>
      </c>
      <c r="B1443" s="1" t="s">
        <v>1449</v>
      </c>
      <c r="D1443" s="1" t="s">
        <v>4772</v>
      </c>
      <c r="E1443" s="1" t="s">
        <v>4782</v>
      </c>
      <c r="F1443" s="3">
        <v>0</v>
      </c>
      <c r="G1443" s="8" t="s">
        <v>2772</v>
      </c>
      <c r="H1443" s="8" t="s">
        <v>5159</v>
      </c>
      <c r="I1443" s="3">
        <v>31</v>
      </c>
      <c r="J1443" s="3" t="s">
        <v>5594</v>
      </c>
      <c r="K1443" s="17" t="str">
        <f>HYPERLINK("http://ictvonline.org/taxonomyHistory.asp?taxnode_id=20171716","ICTVonline=20171716")</f>
        <v>ICTVonline=20171716</v>
      </c>
      <c r="L1443" s="3">
        <v>1442</v>
      </c>
    </row>
    <row r="1444" spans="1:12" x14ac:dyDescent="0.15">
      <c r="A1444" s="1" t="s">
        <v>1009</v>
      </c>
      <c r="B1444" s="1" t="s">
        <v>1449</v>
      </c>
      <c r="D1444" s="1" t="s">
        <v>4772</v>
      </c>
      <c r="E1444" s="1" t="s">
        <v>4783</v>
      </c>
      <c r="F1444" s="3">
        <v>0</v>
      </c>
      <c r="G1444" s="8" t="s">
        <v>2772</v>
      </c>
      <c r="H1444" s="8" t="s">
        <v>5159</v>
      </c>
      <c r="I1444" s="3">
        <v>31</v>
      </c>
      <c r="J1444" s="3" t="s">
        <v>5594</v>
      </c>
      <c r="K1444" s="17" t="str">
        <f>HYPERLINK("http://ictvonline.org/taxonomyHistory.asp?taxnode_id=20171717","ICTVonline=20171717")</f>
        <v>ICTVonline=20171717</v>
      </c>
      <c r="L1444" s="3">
        <v>1443</v>
      </c>
    </row>
    <row r="1445" spans="1:12" x14ac:dyDescent="0.15">
      <c r="A1445" s="1" t="s">
        <v>1009</v>
      </c>
      <c r="B1445" s="1" t="s">
        <v>1449</v>
      </c>
      <c r="D1445" s="1" t="s">
        <v>4772</v>
      </c>
      <c r="E1445" s="1" t="s">
        <v>4784</v>
      </c>
      <c r="F1445" s="3">
        <v>0</v>
      </c>
      <c r="G1445" s="8" t="s">
        <v>2772</v>
      </c>
      <c r="H1445" s="8" t="s">
        <v>5159</v>
      </c>
      <c r="I1445" s="3">
        <v>31</v>
      </c>
      <c r="J1445" s="3" t="s">
        <v>5594</v>
      </c>
      <c r="K1445" s="17" t="str">
        <f>HYPERLINK("http://ictvonline.org/taxonomyHistory.asp?taxnode_id=20171718","ICTVonline=20171718")</f>
        <v>ICTVonline=20171718</v>
      </c>
      <c r="L1445" s="3">
        <v>1444</v>
      </c>
    </row>
    <row r="1446" spans="1:12" x14ac:dyDescent="0.15">
      <c r="A1446" s="1" t="s">
        <v>1009</v>
      </c>
      <c r="B1446" s="1" t="s">
        <v>1449</v>
      </c>
      <c r="D1446" s="1" t="s">
        <v>4772</v>
      </c>
      <c r="E1446" s="1" t="s">
        <v>4785</v>
      </c>
      <c r="F1446" s="3">
        <v>0</v>
      </c>
      <c r="G1446" s="8" t="s">
        <v>2772</v>
      </c>
      <c r="H1446" s="8" t="s">
        <v>5159</v>
      </c>
      <c r="I1446" s="3">
        <v>31</v>
      </c>
      <c r="J1446" s="3" t="s">
        <v>5594</v>
      </c>
      <c r="K1446" s="17" t="str">
        <f>HYPERLINK("http://ictvonline.org/taxonomyHistory.asp?taxnode_id=20171719","ICTVonline=20171719")</f>
        <v>ICTVonline=20171719</v>
      </c>
      <c r="L1446" s="3">
        <v>1445</v>
      </c>
    </row>
    <row r="1447" spans="1:12" x14ac:dyDescent="0.15">
      <c r="A1447" s="1" t="s">
        <v>1009</v>
      </c>
      <c r="B1447" s="1" t="s">
        <v>1449</v>
      </c>
      <c r="D1447" s="1" t="s">
        <v>4772</v>
      </c>
      <c r="E1447" s="1" t="s">
        <v>4786</v>
      </c>
      <c r="F1447" s="3">
        <v>0</v>
      </c>
      <c r="G1447" s="8" t="s">
        <v>2772</v>
      </c>
      <c r="H1447" s="8" t="s">
        <v>5159</v>
      </c>
      <c r="I1447" s="3">
        <v>31</v>
      </c>
      <c r="J1447" s="3" t="s">
        <v>5594</v>
      </c>
      <c r="K1447" s="17" t="str">
        <f>HYPERLINK("http://ictvonline.org/taxonomyHistory.asp?taxnode_id=20171720","ICTVonline=20171720")</f>
        <v>ICTVonline=20171720</v>
      </c>
      <c r="L1447" s="3">
        <v>1446</v>
      </c>
    </row>
    <row r="1448" spans="1:12" x14ac:dyDescent="0.15">
      <c r="A1448" s="1" t="s">
        <v>1009</v>
      </c>
      <c r="B1448" s="1" t="s">
        <v>1449</v>
      </c>
      <c r="D1448" s="1" t="s">
        <v>1389</v>
      </c>
      <c r="E1448" s="1" t="s">
        <v>3692</v>
      </c>
      <c r="F1448" s="3">
        <v>0</v>
      </c>
      <c r="G1448" s="8" t="s">
        <v>2772</v>
      </c>
      <c r="H1448" s="8" t="s">
        <v>5162</v>
      </c>
      <c r="I1448" s="3">
        <v>30</v>
      </c>
      <c r="J1448" s="3" t="s">
        <v>5589</v>
      </c>
      <c r="K1448" s="17" t="str">
        <f>HYPERLINK("http://ictvonline.org/taxonomyHistory.asp?taxnode_id=20171722","ICTVonline=20171722")</f>
        <v>ICTVonline=20171722</v>
      </c>
      <c r="L1448" s="3">
        <v>1447</v>
      </c>
    </row>
    <row r="1449" spans="1:12" x14ac:dyDescent="0.15">
      <c r="A1449" s="1" t="s">
        <v>1009</v>
      </c>
      <c r="B1449" s="1" t="s">
        <v>1449</v>
      </c>
      <c r="D1449" s="1" t="s">
        <v>1389</v>
      </c>
      <c r="E1449" s="1" t="s">
        <v>1390</v>
      </c>
      <c r="F1449" s="3">
        <v>0</v>
      </c>
      <c r="G1449" s="8" t="s">
        <v>2772</v>
      </c>
      <c r="H1449" s="8" t="s">
        <v>5159</v>
      </c>
      <c r="I1449" s="3">
        <v>18</v>
      </c>
      <c r="J1449" s="3" t="s">
        <v>5597</v>
      </c>
      <c r="K1449" s="17" t="str">
        <f>HYPERLINK("http://ictvonline.org/taxonomyHistory.asp?taxnode_id=20171723","ICTVonline=20171723")</f>
        <v>ICTVonline=20171723</v>
      </c>
      <c r="L1449" s="3">
        <v>1448</v>
      </c>
    </row>
    <row r="1450" spans="1:12" x14ac:dyDescent="0.15">
      <c r="A1450" s="1" t="s">
        <v>1009</v>
      </c>
      <c r="B1450" s="1" t="s">
        <v>1449</v>
      </c>
      <c r="D1450" s="1" t="s">
        <v>1389</v>
      </c>
      <c r="E1450" s="1" t="s">
        <v>2317</v>
      </c>
      <c r="F1450" s="3">
        <v>0</v>
      </c>
      <c r="G1450" s="8" t="s">
        <v>2772</v>
      </c>
      <c r="H1450" s="8" t="s">
        <v>5159</v>
      </c>
      <c r="I1450" s="3">
        <v>28</v>
      </c>
      <c r="J1450" s="3" t="s">
        <v>5598</v>
      </c>
      <c r="K1450" s="17" t="str">
        <f>HYPERLINK("http://ictvonline.org/taxonomyHistory.asp?taxnode_id=20171724","ICTVonline=20171724")</f>
        <v>ICTVonline=20171724</v>
      </c>
      <c r="L1450" s="3">
        <v>1449</v>
      </c>
    </row>
    <row r="1451" spans="1:12" x14ac:dyDescent="0.15">
      <c r="A1451" s="1" t="s">
        <v>1009</v>
      </c>
      <c r="B1451" s="1" t="s">
        <v>1449</v>
      </c>
      <c r="D1451" s="1" t="s">
        <v>1389</v>
      </c>
      <c r="E1451" s="1" t="s">
        <v>3693</v>
      </c>
      <c r="F1451" s="3">
        <v>0</v>
      </c>
      <c r="G1451" s="8" t="s">
        <v>2772</v>
      </c>
      <c r="H1451" s="8" t="s">
        <v>5162</v>
      </c>
      <c r="I1451" s="3">
        <v>30</v>
      </c>
      <c r="J1451" s="3" t="s">
        <v>5589</v>
      </c>
      <c r="K1451" s="17" t="str">
        <f>HYPERLINK("http://ictvonline.org/taxonomyHistory.asp?taxnode_id=20171725","ICTVonline=20171725")</f>
        <v>ICTVonline=20171725</v>
      </c>
      <c r="L1451" s="3">
        <v>1450</v>
      </c>
    </row>
    <row r="1452" spans="1:12" x14ac:dyDescent="0.15">
      <c r="A1452" s="1" t="s">
        <v>1009</v>
      </c>
      <c r="B1452" s="1" t="s">
        <v>1449</v>
      </c>
      <c r="D1452" s="1" t="s">
        <v>1389</v>
      </c>
      <c r="E1452" s="1" t="s">
        <v>3694</v>
      </c>
      <c r="F1452" s="3">
        <v>0</v>
      </c>
      <c r="G1452" s="8" t="s">
        <v>2772</v>
      </c>
      <c r="H1452" s="8" t="s">
        <v>5162</v>
      </c>
      <c r="I1452" s="3">
        <v>30</v>
      </c>
      <c r="J1452" s="3" t="s">
        <v>5589</v>
      </c>
      <c r="K1452" s="17" t="str">
        <f>HYPERLINK("http://ictvonline.org/taxonomyHistory.asp?taxnode_id=20171726","ICTVonline=20171726")</f>
        <v>ICTVonline=20171726</v>
      </c>
      <c r="L1452" s="3">
        <v>1451</v>
      </c>
    </row>
    <row r="1453" spans="1:12" x14ac:dyDescent="0.15">
      <c r="A1453" s="1" t="s">
        <v>1009</v>
      </c>
      <c r="B1453" s="1" t="s">
        <v>1449</v>
      </c>
      <c r="D1453" s="1" t="s">
        <v>1389</v>
      </c>
      <c r="E1453" s="1" t="s">
        <v>3695</v>
      </c>
      <c r="F1453" s="3">
        <v>0</v>
      </c>
      <c r="G1453" s="8" t="s">
        <v>2772</v>
      </c>
      <c r="H1453" s="8" t="s">
        <v>5162</v>
      </c>
      <c r="I1453" s="3">
        <v>30</v>
      </c>
      <c r="J1453" s="3" t="s">
        <v>5589</v>
      </c>
      <c r="K1453" s="17" t="str">
        <f>HYPERLINK("http://ictvonline.org/taxonomyHistory.asp?taxnode_id=20171727","ICTVonline=20171727")</f>
        <v>ICTVonline=20171727</v>
      </c>
      <c r="L1453" s="3">
        <v>1452</v>
      </c>
    </row>
    <row r="1454" spans="1:12" x14ac:dyDescent="0.15">
      <c r="A1454" s="1" t="s">
        <v>1009</v>
      </c>
      <c r="B1454" s="1" t="s">
        <v>1449</v>
      </c>
      <c r="D1454" s="1" t="s">
        <v>1389</v>
      </c>
      <c r="E1454" s="1" t="s">
        <v>5599</v>
      </c>
      <c r="F1454" s="3">
        <v>0</v>
      </c>
      <c r="G1454" s="8" t="s">
        <v>2772</v>
      </c>
      <c r="H1454" s="8" t="s">
        <v>5159</v>
      </c>
      <c r="I1454" s="3">
        <v>32</v>
      </c>
      <c r="J1454" s="3" t="s">
        <v>5600</v>
      </c>
      <c r="K1454" s="17" t="str">
        <f>HYPERLINK("http://ictvonline.org/taxonomyHistory.asp?taxnode_id=20175581","ICTVonline=20175581")</f>
        <v>ICTVonline=20175581</v>
      </c>
      <c r="L1454" s="3">
        <v>1453</v>
      </c>
    </row>
    <row r="1455" spans="1:12" x14ac:dyDescent="0.15">
      <c r="A1455" s="1" t="s">
        <v>1009</v>
      </c>
      <c r="B1455" s="1" t="s">
        <v>1449</v>
      </c>
      <c r="D1455" s="1" t="s">
        <v>1389</v>
      </c>
      <c r="E1455" s="1" t="s">
        <v>2318</v>
      </c>
      <c r="F1455" s="3">
        <v>0</v>
      </c>
      <c r="G1455" s="8" t="s">
        <v>2772</v>
      </c>
      <c r="H1455" s="8" t="s">
        <v>5159</v>
      </c>
      <c r="I1455" s="3">
        <v>28</v>
      </c>
      <c r="J1455" s="3" t="s">
        <v>5601</v>
      </c>
      <c r="K1455" s="17" t="str">
        <f>HYPERLINK("http://ictvonline.org/taxonomyHistory.asp?taxnode_id=20171728","ICTVonline=20171728")</f>
        <v>ICTVonline=20171728</v>
      </c>
      <c r="L1455" s="3">
        <v>1454</v>
      </c>
    </row>
    <row r="1456" spans="1:12" x14ac:dyDescent="0.15">
      <c r="A1456" s="1" t="s">
        <v>1009</v>
      </c>
      <c r="B1456" s="1" t="s">
        <v>1449</v>
      </c>
      <c r="D1456" s="1" t="s">
        <v>1389</v>
      </c>
      <c r="E1456" s="1" t="s">
        <v>3696</v>
      </c>
      <c r="F1456" s="3">
        <v>0</v>
      </c>
      <c r="G1456" s="8" t="s">
        <v>2772</v>
      </c>
      <c r="H1456" s="8" t="s">
        <v>5162</v>
      </c>
      <c r="I1456" s="3">
        <v>30</v>
      </c>
      <c r="J1456" s="3" t="s">
        <v>5589</v>
      </c>
      <c r="K1456" s="17" t="str">
        <f>HYPERLINK("http://ictvonline.org/taxonomyHistory.asp?taxnode_id=20171729","ICTVonline=20171729")</f>
        <v>ICTVonline=20171729</v>
      </c>
      <c r="L1456" s="3">
        <v>1455</v>
      </c>
    </row>
    <row r="1457" spans="1:12" x14ac:dyDescent="0.15">
      <c r="A1457" s="1" t="s">
        <v>1009</v>
      </c>
      <c r="B1457" s="1" t="s">
        <v>1449</v>
      </c>
      <c r="D1457" s="1" t="s">
        <v>1389</v>
      </c>
      <c r="E1457" s="1" t="s">
        <v>3697</v>
      </c>
      <c r="F1457" s="3">
        <v>0</v>
      </c>
      <c r="G1457" s="8" t="s">
        <v>2772</v>
      </c>
      <c r="H1457" s="8" t="s">
        <v>5162</v>
      </c>
      <c r="I1457" s="3">
        <v>30</v>
      </c>
      <c r="J1457" s="3" t="s">
        <v>5589</v>
      </c>
      <c r="K1457" s="17" t="str">
        <f>HYPERLINK("http://ictvonline.org/taxonomyHistory.asp?taxnode_id=20171730","ICTVonline=20171730")</f>
        <v>ICTVonline=20171730</v>
      </c>
      <c r="L1457" s="3">
        <v>1456</v>
      </c>
    </row>
    <row r="1458" spans="1:12" x14ac:dyDescent="0.15">
      <c r="A1458" s="1" t="s">
        <v>1009</v>
      </c>
      <c r="B1458" s="1" t="s">
        <v>1449</v>
      </c>
      <c r="D1458" s="1" t="s">
        <v>1389</v>
      </c>
      <c r="E1458" s="1" t="s">
        <v>3698</v>
      </c>
      <c r="F1458" s="3">
        <v>0</v>
      </c>
      <c r="G1458" s="8" t="s">
        <v>2772</v>
      </c>
      <c r="H1458" s="8" t="s">
        <v>5162</v>
      </c>
      <c r="I1458" s="3">
        <v>30</v>
      </c>
      <c r="J1458" s="3" t="s">
        <v>5589</v>
      </c>
      <c r="K1458" s="17" t="str">
        <f>HYPERLINK("http://ictvonline.org/taxonomyHistory.asp?taxnode_id=20171731","ICTVonline=20171731")</f>
        <v>ICTVonline=20171731</v>
      </c>
      <c r="L1458" s="3">
        <v>1457</v>
      </c>
    </row>
    <row r="1459" spans="1:12" x14ac:dyDescent="0.15">
      <c r="A1459" s="1" t="s">
        <v>1009</v>
      </c>
      <c r="B1459" s="1" t="s">
        <v>1449</v>
      </c>
      <c r="D1459" s="1" t="s">
        <v>1389</v>
      </c>
      <c r="E1459" s="1" t="s">
        <v>5602</v>
      </c>
      <c r="F1459" s="3">
        <v>0</v>
      </c>
      <c r="G1459" s="8" t="s">
        <v>2772</v>
      </c>
      <c r="H1459" s="8" t="s">
        <v>5159</v>
      </c>
      <c r="I1459" s="3">
        <v>32</v>
      </c>
      <c r="J1459" s="3" t="s">
        <v>5603</v>
      </c>
      <c r="K1459" s="17" t="str">
        <f>HYPERLINK("http://ictvonline.org/taxonomyHistory.asp?taxnode_id=20175582","ICTVonline=20175582")</f>
        <v>ICTVonline=20175582</v>
      </c>
      <c r="L1459" s="3">
        <v>1458</v>
      </c>
    </row>
    <row r="1460" spans="1:12" x14ac:dyDescent="0.15">
      <c r="A1460" s="1" t="s">
        <v>1009</v>
      </c>
      <c r="B1460" s="1" t="s">
        <v>1449</v>
      </c>
      <c r="D1460" s="1" t="s">
        <v>1389</v>
      </c>
      <c r="E1460" s="1" t="s">
        <v>3699</v>
      </c>
      <c r="F1460" s="3">
        <v>0</v>
      </c>
      <c r="G1460" s="8" t="s">
        <v>2772</v>
      </c>
      <c r="H1460" s="8" t="s">
        <v>5162</v>
      </c>
      <c r="I1460" s="3">
        <v>30</v>
      </c>
      <c r="J1460" s="3" t="s">
        <v>5589</v>
      </c>
      <c r="K1460" s="17" t="str">
        <f>HYPERLINK("http://ictvonline.org/taxonomyHistory.asp?taxnode_id=20171732","ICTVonline=20171732")</f>
        <v>ICTVonline=20171732</v>
      </c>
      <c r="L1460" s="3">
        <v>1459</v>
      </c>
    </row>
    <row r="1461" spans="1:12" x14ac:dyDescent="0.15">
      <c r="A1461" s="1" t="s">
        <v>1009</v>
      </c>
      <c r="B1461" s="1" t="s">
        <v>1449</v>
      </c>
      <c r="D1461" s="1" t="s">
        <v>1389</v>
      </c>
      <c r="E1461" s="1" t="s">
        <v>3700</v>
      </c>
      <c r="F1461" s="3">
        <v>1</v>
      </c>
      <c r="G1461" s="8" t="s">
        <v>2772</v>
      </c>
      <c r="H1461" s="8" t="s">
        <v>5162</v>
      </c>
      <c r="I1461" s="3">
        <v>30</v>
      </c>
      <c r="J1461" s="3" t="s">
        <v>5589</v>
      </c>
      <c r="K1461" s="17" t="str">
        <f>HYPERLINK("http://ictvonline.org/taxonomyHistory.asp?taxnode_id=20171733","ICTVonline=20171733")</f>
        <v>ICTVonline=20171733</v>
      </c>
      <c r="L1461" s="3">
        <v>1460</v>
      </c>
    </row>
    <row r="1462" spans="1:12" x14ac:dyDescent="0.15">
      <c r="A1462" s="1" t="s">
        <v>1009</v>
      </c>
      <c r="B1462" s="1" t="s">
        <v>1449</v>
      </c>
      <c r="D1462" s="1" t="s">
        <v>1389</v>
      </c>
      <c r="E1462" s="1" t="s">
        <v>3701</v>
      </c>
      <c r="F1462" s="3">
        <v>0</v>
      </c>
      <c r="G1462" s="8" t="s">
        <v>2772</v>
      </c>
      <c r="H1462" s="8" t="s">
        <v>5162</v>
      </c>
      <c r="I1462" s="3">
        <v>30</v>
      </c>
      <c r="J1462" s="3" t="s">
        <v>5589</v>
      </c>
      <c r="K1462" s="17" t="str">
        <f>HYPERLINK("http://ictvonline.org/taxonomyHistory.asp?taxnode_id=20171734","ICTVonline=20171734")</f>
        <v>ICTVonline=20171734</v>
      </c>
      <c r="L1462" s="3">
        <v>1461</v>
      </c>
    </row>
    <row r="1463" spans="1:12" x14ac:dyDescent="0.15">
      <c r="A1463" s="1" t="s">
        <v>1009</v>
      </c>
      <c r="B1463" s="1" t="s">
        <v>1449</v>
      </c>
      <c r="D1463" s="1" t="s">
        <v>1389</v>
      </c>
      <c r="E1463" s="1" t="s">
        <v>3702</v>
      </c>
      <c r="F1463" s="3">
        <v>0</v>
      </c>
      <c r="G1463" s="8" t="s">
        <v>2772</v>
      </c>
      <c r="H1463" s="8" t="s">
        <v>5162</v>
      </c>
      <c r="I1463" s="3">
        <v>30</v>
      </c>
      <c r="J1463" s="3" t="s">
        <v>5589</v>
      </c>
      <c r="K1463" s="17" t="str">
        <f>HYPERLINK("http://ictvonline.org/taxonomyHistory.asp?taxnode_id=20171735","ICTVonline=20171735")</f>
        <v>ICTVonline=20171735</v>
      </c>
      <c r="L1463" s="3">
        <v>1462</v>
      </c>
    </row>
    <row r="1464" spans="1:12" x14ac:dyDescent="0.15">
      <c r="A1464" s="1" t="s">
        <v>1009</v>
      </c>
      <c r="B1464" s="1" t="s">
        <v>1449</v>
      </c>
      <c r="D1464" s="1" t="s">
        <v>1132</v>
      </c>
      <c r="E1464" s="1" t="s">
        <v>3703</v>
      </c>
      <c r="F1464" s="3">
        <v>0</v>
      </c>
      <c r="G1464" s="8" t="s">
        <v>2772</v>
      </c>
      <c r="H1464" s="8" t="s">
        <v>5162</v>
      </c>
      <c r="I1464" s="3">
        <v>30</v>
      </c>
      <c r="J1464" s="3" t="s">
        <v>5589</v>
      </c>
      <c r="K1464" s="17" t="str">
        <f>HYPERLINK("http://ictvonline.org/taxonomyHistory.asp?taxnode_id=20171737","ICTVonline=20171737")</f>
        <v>ICTVonline=20171737</v>
      </c>
      <c r="L1464" s="3">
        <v>1463</v>
      </c>
    </row>
    <row r="1465" spans="1:12" x14ac:dyDescent="0.15">
      <c r="A1465" s="1" t="s">
        <v>1009</v>
      </c>
      <c r="B1465" s="1" t="s">
        <v>1449</v>
      </c>
      <c r="D1465" s="1" t="s">
        <v>1132</v>
      </c>
      <c r="E1465" s="1" t="s">
        <v>5215</v>
      </c>
      <c r="F1465" s="3">
        <v>0</v>
      </c>
      <c r="G1465" s="8" t="s">
        <v>2772</v>
      </c>
      <c r="H1465" s="8" t="s">
        <v>5162</v>
      </c>
      <c r="I1465" s="3">
        <v>31</v>
      </c>
      <c r="J1465" s="3" t="s">
        <v>5604</v>
      </c>
      <c r="K1465" s="17" t="str">
        <f>HYPERLINK("http://ictvonline.org/taxonomyHistory.asp?taxnode_id=20171738","ICTVonline=20171738")</f>
        <v>ICTVonline=20171738</v>
      </c>
      <c r="L1465" s="3">
        <v>1464</v>
      </c>
    </row>
    <row r="1466" spans="1:12" x14ac:dyDescent="0.15">
      <c r="A1466" s="1" t="s">
        <v>1009</v>
      </c>
      <c r="B1466" s="1" t="s">
        <v>1449</v>
      </c>
      <c r="D1466" s="1" t="s">
        <v>1132</v>
      </c>
      <c r="E1466" s="1" t="s">
        <v>5216</v>
      </c>
      <c r="F1466" s="3">
        <v>1</v>
      </c>
      <c r="G1466" s="8" t="s">
        <v>2772</v>
      </c>
      <c r="H1466" s="8" t="s">
        <v>5162</v>
      </c>
      <c r="I1466" s="3">
        <v>31</v>
      </c>
      <c r="J1466" s="3" t="s">
        <v>5604</v>
      </c>
      <c r="K1466" s="17" t="str">
        <f>HYPERLINK("http://ictvonline.org/taxonomyHistory.asp?taxnode_id=20171739","ICTVonline=20171739")</f>
        <v>ICTVonline=20171739</v>
      </c>
      <c r="L1466" s="3">
        <v>1465</v>
      </c>
    </row>
    <row r="1467" spans="1:12" x14ac:dyDescent="0.15">
      <c r="A1467" s="1" t="s">
        <v>1009</v>
      </c>
      <c r="B1467" s="1" t="s">
        <v>1449</v>
      </c>
      <c r="D1467" s="1" t="s">
        <v>1132</v>
      </c>
      <c r="E1467" s="1" t="s">
        <v>3704</v>
      </c>
      <c r="F1467" s="3">
        <v>0</v>
      </c>
      <c r="G1467" s="8" t="s">
        <v>2772</v>
      </c>
      <c r="H1467" s="8" t="s">
        <v>5162</v>
      </c>
      <c r="I1467" s="3">
        <v>30</v>
      </c>
      <c r="J1467" s="3" t="s">
        <v>5589</v>
      </c>
      <c r="K1467" s="17" t="str">
        <f>HYPERLINK("http://ictvonline.org/taxonomyHistory.asp?taxnode_id=20171740","ICTVonline=20171740")</f>
        <v>ICTVonline=20171740</v>
      </c>
      <c r="L1467" s="3">
        <v>1466</v>
      </c>
    </row>
    <row r="1468" spans="1:12" x14ac:dyDescent="0.15">
      <c r="A1468" s="1" t="s">
        <v>1009</v>
      </c>
      <c r="B1468" s="1" t="s">
        <v>1449</v>
      </c>
      <c r="D1468" s="1" t="s">
        <v>1448</v>
      </c>
      <c r="E1468" s="1" t="s">
        <v>3705</v>
      </c>
      <c r="F1468" s="3">
        <v>0</v>
      </c>
      <c r="G1468" s="8" t="s">
        <v>2772</v>
      </c>
      <c r="H1468" s="8" t="s">
        <v>5162</v>
      </c>
      <c r="I1468" s="3">
        <v>30</v>
      </c>
      <c r="J1468" s="3" t="s">
        <v>5589</v>
      </c>
      <c r="K1468" s="17" t="str">
        <f>HYPERLINK("http://ictvonline.org/taxonomyHistory.asp?taxnode_id=20171742","ICTVonline=20171742")</f>
        <v>ICTVonline=20171742</v>
      </c>
      <c r="L1468" s="3">
        <v>1467</v>
      </c>
    </row>
    <row r="1469" spans="1:12" x14ac:dyDescent="0.15">
      <c r="A1469" s="1" t="s">
        <v>1009</v>
      </c>
      <c r="B1469" s="1" t="s">
        <v>1449</v>
      </c>
      <c r="D1469" s="1" t="s">
        <v>1448</v>
      </c>
      <c r="E1469" s="1" t="s">
        <v>3706</v>
      </c>
      <c r="F1469" s="3">
        <v>0</v>
      </c>
      <c r="G1469" s="8" t="s">
        <v>2772</v>
      </c>
      <c r="H1469" s="8" t="s">
        <v>5162</v>
      </c>
      <c r="I1469" s="3">
        <v>30</v>
      </c>
      <c r="J1469" s="3" t="s">
        <v>5589</v>
      </c>
      <c r="K1469" s="17" t="str">
        <f>HYPERLINK("http://ictvonline.org/taxonomyHistory.asp?taxnode_id=20171743","ICTVonline=20171743")</f>
        <v>ICTVonline=20171743</v>
      </c>
      <c r="L1469" s="3">
        <v>1468</v>
      </c>
    </row>
    <row r="1470" spans="1:12" x14ac:dyDescent="0.15">
      <c r="A1470" s="1" t="s">
        <v>1009</v>
      </c>
      <c r="B1470" s="1" t="s">
        <v>1449</v>
      </c>
      <c r="D1470" s="1" t="s">
        <v>1448</v>
      </c>
      <c r="E1470" s="1" t="s">
        <v>3707</v>
      </c>
      <c r="F1470" s="3">
        <v>0</v>
      </c>
      <c r="G1470" s="8" t="s">
        <v>2772</v>
      </c>
      <c r="H1470" s="8" t="s">
        <v>5162</v>
      </c>
      <c r="I1470" s="3">
        <v>30</v>
      </c>
      <c r="J1470" s="3" t="s">
        <v>5589</v>
      </c>
      <c r="K1470" s="17" t="str">
        <f>HYPERLINK("http://ictvonline.org/taxonomyHistory.asp?taxnode_id=20171744","ICTVonline=20171744")</f>
        <v>ICTVonline=20171744</v>
      </c>
      <c r="L1470" s="3">
        <v>1469</v>
      </c>
    </row>
    <row r="1471" spans="1:12" x14ac:dyDescent="0.15">
      <c r="A1471" s="1" t="s">
        <v>1009</v>
      </c>
      <c r="B1471" s="1" t="s">
        <v>1449</v>
      </c>
      <c r="D1471" s="1" t="s">
        <v>1448</v>
      </c>
      <c r="E1471" s="1" t="s">
        <v>3708</v>
      </c>
      <c r="F1471" s="3">
        <v>0</v>
      </c>
      <c r="G1471" s="8" t="s">
        <v>2772</v>
      </c>
      <c r="H1471" s="8" t="s">
        <v>5162</v>
      </c>
      <c r="I1471" s="3">
        <v>30</v>
      </c>
      <c r="J1471" s="3" t="s">
        <v>5589</v>
      </c>
      <c r="K1471" s="17" t="str">
        <f>HYPERLINK("http://ictvonline.org/taxonomyHistory.asp?taxnode_id=20171745","ICTVonline=20171745")</f>
        <v>ICTVonline=20171745</v>
      </c>
      <c r="L1471" s="3">
        <v>1470</v>
      </c>
    </row>
    <row r="1472" spans="1:12" x14ac:dyDescent="0.15">
      <c r="A1472" s="1" t="s">
        <v>1009</v>
      </c>
      <c r="B1472" s="1" t="s">
        <v>1449</v>
      </c>
      <c r="D1472" s="1" t="s">
        <v>1448</v>
      </c>
      <c r="E1472" s="1" t="s">
        <v>3709</v>
      </c>
      <c r="F1472" s="3">
        <v>0</v>
      </c>
      <c r="G1472" s="8" t="s">
        <v>2772</v>
      </c>
      <c r="H1472" s="8" t="s">
        <v>5162</v>
      </c>
      <c r="I1472" s="3">
        <v>30</v>
      </c>
      <c r="J1472" s="3" t="s">
        <v>5589</v>
      </c>
      <c r="K1472" s="17" t="str">
        <f>HYPERLINK("http://ictvonline.org/taxonomyHistory.asp?taxnode_id=20171746","ICTVonline=20171746")</f>
        <v>ICTVonline=20171746</v>
      </c>
      <c r="L1472" s="3">
        <v>1471</v>
      </c>
    </row>
    <row r="1473" spans="1:12" x14ac:dyDescent="0.15">
      <c r="A1473" s="1" t="s">
        <v>1009</v>
      </c>
      <c r="B1473" s="1" t="s">
        <v>1449</v>
      </c>
      <c r="D1473" s="1" t="s">
        <v>1448</v>
      </c>
      <c r="E1473" s="1" t="s">
        <v>3710</v>
      </c>
      <c r="F1473" s="3">
        <v>1</v>
      </c>
      <c r="G1473" s="8" t="s">
        <v>2772</v>
      </c>
      <c r="H1473" s="8" t="s">
        <v>5162</v>
      </c>
      <c r="I1473" s="3">
        <v>30</v>
      </c>
      <c r="J1473" s="3" t="s">
        <v>5589</v>
      </c>
      <c r="K1473" s="17" t="str">
        <f>HYPERLINK("http://ictvonline.org/taxonomyHistory.asp?taxnode_id=20171747","ICTVonline=20171747")</f>
        <v>ICTVonline=20171747</v>
      </c>
      <c r="L1473" s="3">
        <v>1472</v>
      </c>
    </row>
    <row r="1474" spans="1:12" x14ac:dyDescent="0.15">
      <c r="A1474" s="1" t="s">
        <v>1009</v>
      </c>
      <c r="B1474" s="1" t="s">
        <v>1449</v>
      </c>
      <c r="D1474" s="1" t="s">
        <v>1448</v>
      </c>
      <c r="E1474" s="1" t="s">
        <v>3711</v>
      </c>
      <c r="F1474" s="3">
        <v>0</v>
      </c>
      <c r="G1474" s="8" t="s">
        <v>2772</v>
      </c>
      <c r="H1474" s="8" t="s">
        <v>5162</v>
      </c>
      <c r="I1474" s="3">
        <v>30</v>
      </c>
      <c r="J1474" s="3" t="s">
        <v>5589</v>
      </c>
      <c r="K1474" s="17" t="str">
        <f>HYPERLINK("http://ictvonline.org/taxonomyHistory.asp?taxnode_id=20171748","ICTVonline=20171748")</f>
        <v>ICTVonline=20171748</v>
      </c>
      <c r="L1474" s="3">
        <v>1473</v>
      </c>
    </row>
    <row r="1475" spans="1:12" x14ac:dyDescent="0.15">
      <c r="A1475" s="1" t="s">
        <v>1009</v>
      </c>
      <c r="B1475" s="1" t="s">
        <v>1449</v>
      </c>
      <c r="D1475" s="1" t="s">
        <v>1448</v>
      </c>
      <c r="E1475" s="1" t="s">
        <v>3712</v>
      </c>
      <c r="F1475" s="3">
        <v>0</v>
      </c>
      <c r="G1475" s="8" t="s">
        <v>2772</v>
      </c>
      <c r="H1475" s="8" t="s">
        <v>5162</v>
      </c>
      <c r="I1475" s="3">
        <v>30</v>
      </c>
      <c r="J1475" s="3" t="s">
        <v>5589</v>
      </c>
      <c r="K1475" s="17" t="str">
        <f>HYPERLINK("http://ictvonline.org/taxonomyHistory.asp?taxnode_id=20171749","ICTVonline=20171749")</f>
        <v>ICTVonline=20171749</v>
      </c>
      <c r="L1475" s="3">
        <v>1474</v>
      </c>
    </row>
    <row r="1476" spans="1:12" x14ac:dyDescent="0.15">
      <c r="A1476" s="1" t="s">
        <v>1009</v>
      </c>
      <c r="B1476" s="1" t="s">
        <v>1449</v>
      </c>
      <c r="D1476" s="1" t="s">
        <v>1448</v>
      </c>
      <c r="E1476" s="1" t="s">
        <v>3713</v>
      </c>
      <c r="F1476" s="3">
        <v>0</v>
      </c>
      <c r="G1476" s="8" t="s">
        <v>2772</v>
      </c>
      <c r="H1476" s="8" t="s">
        <v>5162</v>
      </c>
      <c r="I1476" s="3">
        <v>30</v>
      </c>
      <c r="J1476" s="3" t="s">
        <v>5589</v>
      </c>
      <c r="K1476" s="17" t="str">
        <f>HYPERLINK("http://ictvonline.org/taxonomyHistory.asp?taxnode_id=20171750","ICTVonline=20171750")</f>
        <v>ICTVonline=20171750</v>
      </c>
      <c r="L1476" s="3">
        <v>1475</v>
      </c>
    </row>
    <row r="1477" spans="1:12" x14ac:dyDescent="0.15">
      <c r="A1477" s="1" t="s">
        <v>1009</v>
      </c>
      <c r="B1477" s="1" t="s">
        <v>1449</v>
      </c>
      <c r="D1477" s="1" t="s">
        <v>1448</v>
      </c>
      <c r="E1477" s="1" t="s">
        <v>3714</v>
      </c>
      <c r="F1477" s="3">
        <v>0</v>
      </c>
      <c r="G1477" s="8" t="s">
        <v>2772</v>
      </c>
      <c r="H1477" s="8" t="s">
        <v>5162</v>
      </c>
      <c r="I1477" s="3">
        <v>30</v>
      </c>
      <c r="J1477" s="3" t="s">
        <v>5589</v>
      </c>
      <c r="K1477" s="17" t="str">
        <f>HYPERLINK("http://ictvonline.org/taxonomyHistory.asp?taxnode_id=20171751","ICTVonline=20171751")</f>
        <v>ICTVonline=20171751</v>
      </c>
      <c r="L1477" s="3">
        <v>1476</v>
      </c>
    </row>
    <row r="1478" spans="1:12" x14ac:dyDescent="0.15">
      <c r="A1478" s="1" t="s">
        <v>1009</v>
      </c>
      <c r="B1478" s="1" t="s">
        <v>1449</v>
      </c>
      <c r="D1478" s="1" t="s">
        <v>2177</v>
      </c>
      <c r="E1478" s="1" t="s">
        <v>3715</v>
      </c>
      <c r="F1478" s="3">
        <v>0</v>
      </c>
      <c r="G1478" s="8" t="s">
        <v>2772</v>
      </c>
      <c r="H1478" s="8" t="s">
        <v>5162</v>
      </c>
      <c r="I1478" s="3">
        <v>30</v>
      </c>
      <c r="J1478" s="3" t="s">
        <v>5589</v>
      </c>
      <c r="K1478" s="17" t="str">
        <f>HYPERLINK("http://ictvonline.org/taxonomyHistory.asp?taxnode_id=20171753","ICTVonline=20171753")</f>
        <v>ICTVonline=20171753</v>
      </c>
      <c r="L1478" s="3">
        <v>1477</v>
      </c>
    </row>
    <row r="1479" spans="1:12" x14ac:dyDescent="0.15">
      <c r="A1479" s="1" t="s">
        <v>1009</v>
      </c>
      <c r="B1479" s="1" t="s">
        <v>1449</v>
      </c>
      <c r="D1479" s="1" t="s">
        <v>2177</v>
      </c>
      <c r="E1479" s="1" t="s">
        <v>3716</v>
      </c>
      <c r="F1479" s="3">
        <v>1</v>
      </c>
      <c r="G1479" s="8" t="s">
        <v>2772</v>
      </c>
      <c r="H1479" s="8" t="s">
        <v>5162</v>
      </c>
      <c r="I1479" s="3">
        <v>30</v>
      </c>
      <c r="J1479" s="3" t="s">
        <v>5589</v>
      </c>
      <c r="K1479" s="17" t="str">
        <f>HYPERLINK("http://ictvonline.org/taxonomyHistory.asp?taxnode_id=20171754","ICTVonline=20171754")</f>
        <v>ICTVonline=20171754</v>
      </c>
      <c r="L1479" s="3">
        <v>1478</v>
      </c>
    </row>
    <row r="1480" spans="1:12" x14ac:dyDescent="0.15">
      <c r="A1480" s="1" t="s">
        <v>1009</v>
      </c>
      <c r="B1480" s="1" t="s">
        <v>1449</v>
      </c>
      <c r="D1480" s="1" t="s">
        <v>2177</v>
      </c>
      <c r="E1480" s="1" t="s">
        <v>3717</v>
      </c>
      <c r="F1480" s="3">
        <v>0</v>
      </c>
      <c r="G1480" s="8" t="s">
        <v>2772</v>
      </c>
      <c r="H1480" s="8" t="s">
        <v>5162</v>
      </c>
      <c r="I1480" s="3">
        <v>30</v>
      </c>
      <c r="J1480" s="3" t="s">
        <v>5589</v>
      </c>
      <c r="K1480" s="17" t="str">
        <f>HYPERLINK("http://ictvonline.org/taxonomyHistory.asp?taxnode_id=20171755","ICTVonline=20171755")</f>
        <v>ICTVonline=20171755</v>
      </c>
      <c r="L1480" s="3">
        <v>1479</v>
      </c>
    </row>
    <row r="1481" spans="1:12" x14ac:dyDescent="0.15">
      <c r="A1481" s="1" t="s">
        <v>1009</v>
      </c>
      <c r="B1481" s="1" t="s">
        <v>1449</v>
      </c>
      <c r="D1481" s="1" t="s">
        <v>2178</v>
      </c>
      <c r="E1481" s="1" t="s">
        <v>2179</v>
      </c>
      <c r="F1481" s="3">
        <v>0</v>
      </c>
      <c r="G1481" s="8" t="s">
        <v>2772</v>
      </c>
      <c r="H1481" s="8" t="s">
        <v>5159</v>
      </c>
      <c r="I1481" s="3">
        <v>27</v>
      </c>
      <c r="J1481" s="3" t="s">
        <v>5605</v>
      </c>
      <c r="K1481" s="17" t="str">
        <f>HYPERLINK("http://ictvonline.org/taxonomyHistory.asp?taxnode_id=20171757","ICTVonline=20171757")</f>
        <v>ICTVonline=20171757</v>
      </c>
      <c r="L1481" s="3">
        <v>1480</v>
      </c>
    </row>
    <row r="1482" spans="1:12" x14ac:dyDescent="0.15">
      <c r="A1482" s="1" t="s">
        <v>1009</v>
      </c>
      <c r="B1482" s="1" t="s">
        <v>1449</v>
      </c>
      <c r="D1482" s="1" t="s">
        <v>2178</v>
      </c>
      <c r="E1482" s="1" t="s">
        <v>2180</v>
      </c>
      <c r="F1482" s="3">
        <v>0</v>
      </c>
      <c r="G1482" s="8" t="s">
        <v>2772</v>
      </c>
      <c r="H1482" s="8" t="s">
        <v>5159</v>
      </c>
      <c r="I1482" s="3">
        <v>27</v>
      </c>
      <c r="J1482" s="3" t="s">
        <v>5605</v>
      </c>
      <c r="K1482" s="17" t="str">
        <f>HYPERLINK("http://ictvonline.org/taxonomyHistory.asp?taxnode_id=20171758","ICTVonline=20171758")</f>
        <v>ICTVonline=20171758</v>
      </c>
      <c r="L1482" s="3">
        <v>1481</v>
      </c>
    </row>
    <row r="1483" spans="1:12" x14ac:dyDescent="0.15">
      <c r="A1483" s="1" t="s">
        <v>1009</v>
      </c>
      <c r="B1483" s="1" t="s">
        <v>1449</v>
      </c>
      <c r="D1483" s="1" t="s">
        <v>2178</v>
      </c>
      <c r="E1483" s="1" t="s">
        <v>2181</v>
      </c>
      <c r="F1483" s="3">
        <v>0</v>
      </c>
      <c r="G1483" s="8" t="s">
        <v>2772</v>
      </c>
      <c r="H1483" s="8" t="s">
        <v>5159</v>
      </c>
      <c r="I1483" s="3">
        <v>27</v>
      </c>
      <c r="J1483" s="3" t="s">
        <v>5605</v>
      </c>
      <c r="K1483" s="17" t="str">
        <f>HYPERLINK("http://ictvonline.org/taxonomyHistory.asp?taxnode_id=20171759","ICTVonline=20171759")</f>
        <v>ICTVonline=20171759</v>
      </c>
      <c r="L1483" s="3">
        <v>1482</v>
      </c>
    </row>
    <row r="1484" spans="1:12" x14ac:dyDescent="0.15">
      <c r="A1484" s="1" t="s">
        <v>1009</v>
      </c>
      <c r="B1484" s="1" t="s">
        <v>1449</v>
      </c>
      <c r="D1484" s="1" t="s">
        <v>2178</v>
      </c>
      <c r="E1484" s="1" t="s">
        <v>2182</v>
      </c>
      <c r="F1484" s="3">
        <v>1</v>
      </c>
      <c r="G1484" s="8" t="s">
        <v>2772</v>
      </c>
      <c r="H1484" s="8" t="s">
        <v>5166</v>
      </c>
      <c r="I1484" s="3">
        <v>27</v>
      </c>
      <c r="J1484" s="3" t="s">
        <v>5605</v>
      </c>
      <c r="K1484" s="17" t="str">
        <f>HYPERLINK("http://ictvonline.org/taxonomyHistory.asp?taxnode_id=20171760","ICTVonline=20171760")</f>
        <v>ICTVonline=20171760</v>
      </c>
      <c r="L1484" s="3">
        <v>1483</v>
      </c>
    </row>
    <row r="1485" spans="1:12" x14ac:dyDescent="0.15">
      <c r="A1485" s="1" t="s">
        <v>1009</v>
      </c>
      <c r="B1485" s="1" t="s">
        <v>1449</v>
      </c>
      <c r="D1485" s="1" t="s">
        <v>2178</v>
      </c>
      <c r="E1485" s="1" t="s">
        <v>2183</v>
      </c>
      <c r="F1485" s="3">
        <v>0</v>
      </c>
      <c r="G1485" s="8" t="s">
        <v>2772</v>
      </c>
      <c r="H1485" s="8" t="s">
        <v>5159</v>
      </c>
      <c r="I1485" s="3">
        <v>27</v>
      </c>
      <c r="J1485" s="3" t="s">
        <v>5605</v>
      </c>
      <c r="K1485" s="17" t="str">
        <f>HYPERLINK("http://ictvonline.org/taxonomyHistory.asp?taxnode_id=20171761","ICTVonline=20171761")</f>
        <v>ICTVonline=20171761</v>
      </c>
      <c r="L1485" s="3">
        <v>1484</v>
      </c>
    </row>
    <row r="1486" spans="1:12" x14ac:dyDescent="0.15">
      <c r="A1486" s="1" t="s">
        <v>1009</v>
      </c>
      <c r="B1486" s="1" t="s">
        <v>1449</v>
      </c>
      <c r="D1486" s="1" t="s">
        <v>2178</v>
      </c>
      <c r="E1486" s="1" t="s">
        <v>2184</v>
      </c>
      <c r="F1486" s="3">
        <v>0</v>
      </c>
      <c r="G1486" s="8" t="s">
        <v>2772</v>
      </c>
      <c r="H1486" s="8" t="s">
        <v>5159</v>
      </c>
      <c r="I1486" s="3">
        <v>27</v>
      </c>
      <c r="J1486" s="3" t="s">
        <v>5605</v>
      </c>
      <c r="K1486" s="17" t="str">
        <f>HYPERLINK("http://ictvonline.org/taxonomyHistory.asp?taxnode_id=20171762","ICTVonline=20171762")</f>
        <v>ICTVonline=20171762</v>
      </c>
      <c r="L1486" s="3">
        <v>1485</v>
      </c>
    </row>
    <row r="1487" spans="1:12" x14ac:dyDescent="0.15">
      <c r="A1487" s="1" t="s">
        <v>1009</v>
      </c>
      <c r="B1487" s="1" t="s">
        <v>1449</v>
      </c>
      <c r="D1487" s="1" t="s">
        <v>2178</v>
      </c>
      <c r="E1487" s="1" t="s">
        <v>2185</v>
      </c>
      <c r="F1487" s="3">
        <v>0</v>
      </c>
      <c r="G1487" s="8" t="s">
        <v>2772</v>
      </c>
      <c r="H1487" s="8" t="s">
        <v>5159</v>
      </c>
      <c r="I1487" s="3">
        <v>27</v>
      </c>
      <c r="J1487" s="3" t="s">
        <v>5605</v>
      </c>
      <c r="K1487" s="17" t="str">
        <f>HYPERLINK("http://ictvonline.org/taxonomyHistory.asp?taxnode_id=20171763","ICTVonline=20171763")</f>
        <v>ICTVonline=20171763</v>
      </c>
      <c r="L1487" s="3">
        <v>1486</v>
      </c>
    </row>
    <row r="1488" spans="1:12" x14ac:dyDescent="0.15">
      <c r="A1488" s="1" t="s">
        <v>1009</v>
      </c>
      <c r="B1488" s="1" t="s">
        <v>1449</v>
      </c>
      <c r="D1488" s="1" t="s">
        <v>2319</v>
      </c>
      <c r="E1488" s="1" t="s">
        <v>3718</v>
      </c>
      <c r="F1488" s="3">
        <v>1</v>
      </c>
      <c r="G1488" s="8" t="s">
        <v>2772</v>
      </c>
      <c r="H1488" s="8" t="s">
        <v>5162</v>
      </c>
      <c r="I1488" s="3">
        <v>30</v>
      </c>
      <c r="J1488" s="3" t="s">
        <v>5589</v>
      </c>
      <c r="K1488" s="17" t="str">
        <f>HYPERLINK("http://ictvonline.org/taxonomyHistory.asp?taxnode_id=20171765","ICTVonline=20171765")</f>
        <v>ICTVonline=20171765</v>
      </c>
      <c r="L1488" s="3">
        <v>1487</v>
      </c>
    </row>
    <row r="1489" spans="1:12" x14ac:dyDescent="0.15">
      <c r="A1489" s="1" t="s">
        <v>1009</v>
      </c>
      <c r="B1489" s="1" t="s">
        <v>1449</v>
      </c>
      <c r="D1489" s="1" t="s">
        <v>2319</v>
      </c>
      <c r="E1489" s="1" t="s">
        <v>3719</v>
      </c>
      <c r="F1489" s="3">
        <v>0</v>
      </c>
      <c r="G1489" s="8" t="s">
        <v>2772</v>
      </c>
      <c r="H1489" s="8" t="s">
        <v>5162</v>
      </c>
      <c r="I1489" s="3">
        <v>30</v>
      </c>
      <c r="J1489" s="3" t="s">
        <v>5589</v>
      </c>
      <c r="K1489" s="17" t="str">
        <f>HYPERLINK("http://ictvonline.org/taxonomyHistory.asp?taxnode_id=20171766","ICTVonline=20171766")</f>
        <v>ICTVonline=20171766</v>
      </c>
      <c r="L1489" s="3">
        <v>1488</v>
      </c>
    </row>
    <row r="1490" spans="1:12" x14ac:dyDescent="0.15">
      <c r="A1490" s="1" t="s">
        <v>1009</v>
      </c>
      <c r="B1490" s="1" t="s">
        <v>1449</v>
      </c>
      <c r="D1490" s="1" t="s">
        <v>4787</v>
      </c>
      <c r="E1490" s="1" t="s">
        <v>4788</v>
      </c>
      <c r="F1490" s="3">
        <v>0</v>
      </c>
      <c r="G1490" s="8" t="s">
        <v>2772</v>
      </c>
      <c r="H1490" s="8" t="s">
        <v>5159</v>
      </c>
      <c r="I1490" s="3">
        <v>31</v>
      </c>
      <c r="J1490" s="3" t="s">
        <v>5606</v>
      </c>
      <c r="K1490" s="17" t="str">
        <f>HYPERLINK("http://ictvonline.org/taxonomyHistory.asp?taxnode_id=20171768","ICTVonline=20171768")</f>
        <v>ICTVonline=20171768</v>
      </c>
      <c r="L1490" s="3">
        <v>1489</v>
      </c>
    </row>
    <row r="1491" spans="1:12" x14ac:dyDescent="0.15">
      <c r="A1491" s="1" t="s">
        <v>1009</v>
      </c>
      <c r="B1491" s="1" t="s">
        <v>1449</v>
      </c>
      <c r="D1491" s="1" t="s">
        <v>4787</v>
      </c>
      <c r="E1491" s="1" t="s">
        <v>4789</v>
      </c>
      <c r="F1491" s="3">
        <v>0</v>
      </c>
      <c r="G1491" s="8" t="s">
        <v>2772</v>
      </c>
      <c r="H1491" s="8" t="s">
        <v>5159</v>
      </c>
      <c r="I1491" s="3">
        <v>31</v>
      </c>
      <c r="J1491" s="3" t="s">
        <v>5606</v>
      </c>
      <c r="K1491" s="17" t="str">
        <f>HYPERLINK("http://ictvonline.org/taxonomyHistory.asp?taxnode_id=20171769","ICTVonline=20171769")</f>
        <v>ICTVonline=20171769</v>
      </c>
      <c r="L1491" s="3">
        <v>1490</v>
      </c>
    </row>
    <row r="1492" spans="1:12" x14ac:dyDescent="0.15">
      <c r="A1492" s="1" t="s">
        <v>1009</v>
      </c>
      <c r="B1492" s="1" t="s">
        <v>1449</v>
      </c>
      <c r="D1492" s="1" t="s">
        <v>4787</v>
      </c>
      <c r="E1492" s="1" t="s">
        <v>4790</v>
      </c>
      <c r="F1492" s="3">
        <v>1</v>
      </c>
      <c r="G1492" s="8" t="s">
        <v>2772</v>
      </c>
      <c r="H1492" s="8" t="s">
        <v>5159</v>
      </c>
      <c r="I1492" s="3">
        <v>31</v>
      </c>
      <c r="J1492" s="3" t="s">
        <v>5606</v>
      </c>
      <c r="K1492" s="17" t="str">
        <f>HYPERLINK("http://ictvonline.org/taxonomyHistory.asp?taxnode_id=20171770","ICTVonline=20171770")</f>
        <v>ICTVonline=20171770</v>
      </c>
      <c r="L1492" s="3">
        <v>1491</v>
      </c>
    </row>
    <row r="1493" spans="1:12" x14ac:dyDescent="0.15">
      <c r="A1493" s="1" t="s">
        <v>1009</v>
      </c>
      <c r="B1493" s="1" t="s">
        <v>1449</v>
      </c>
      <c r="D1493" s="1" t="s">
        <v>4787</v>
      </c>
      <c r="E1493" s="1" t="s">
        <v>4791</v>
      </c>
      <c r="F1493" s="3">
        <v>0</v>
      </c>
      <c r="G1493" s="8" t="s">
        <v>2772</v>
      </c>
      <c r="H1493" s="8" t="s">
        <v>5159</v>
      </c>
      <c r="I1493" s="3">
        <v>31</v>
      </c>
      <c r="J1493" s="3" t="s">
        <v>5606</v>
      </c>
      <c r="K1493" s="17" t="str">
        <f>HYPERLINK("http://ictvonline.org/taxonomyHistory.asp?taxnode_id=20171771","ICTVonline=20171771")</f>
        <v>ICTVonline=20171771</v>
      </c>
      <c r="L1493" s="3">
        <v>1492</v>
      </c>
    </row>
    <row r="1494" spans="1:12" x14ac:dyDescent="0.15">
      <c r="A1494" s="1" t="s">
        <v>1009</v>
      </c>
      <c r="B1494" s="1" t="s">
        <v>1449</v>
      </c>
      <c r="D1494" s="1" t="s">
        <v>4787</v>
      </c>
      <c r="E1494" s="1" t="s">
        <v>4792</v>
      </c>
      <c r="F1494" s="3">
        <v>0</v>
      </c>
      <c r="G1494" s="8" t="s">
        <v>2772</v>
      </c>
      <c r="H1494" s="8" t="s">
        <v>5159</v>
      </c>
      <c r="I1494" s="3">
        <v>31</v>
      </c>
      <c r="J1494" s="3" t="s">
        <v>5606</v>
      </c>
      <c r="K1494" s="17" t="str">
        <f>HYPERLINK("http://ictvonline.org/taxonomyHistory.asp?taxnode_id=20171772","ICTVonline=20171772")</f>
        <v>ICTVonline=20171772</v>
      </c>
      <c r="L1494" s="3">
        <v>1493</v>
      </c>
    </row>
    <row r="1495" spans="1:12" x14ac:dyDescent="0.15">
      <c r="A1495" s="1" t="s">
        <v>1009</v>
      </c>
      <c r="B1495" s="1" t="s">
        <v>1449</v>
      </c>
      <c r="D1495" s="1" t="s">
        <v>2186</v>
      </c>
      <c r="E1495" s="1" t="s">
        <v>4793</v>
      </c>
      <c r="F1495" s="3">
        <v>0</v>
      </c>
      <c r="G1495" s="8" t="s">
        <v>2772</v>
      </c>
      <c r="H1495" s="8" t="s">
        <v>5159</v>
      </c>
      <c r="I1495" s="3">
        <v>31</v>
      </c>
      <c r="J1495" s="3" t="s">
        <v>5607</v>
      </c>
      <c r="K1495" s="17" t="str">
        <f>HYPERLINK("http://ictvonline.org/taxonomyHistory.asp?taxnode_id=20171774","ICTVonline=20171774")</f>
        <v>ICTVonline=20171774</v>
      </c>
      <c r="L1495" s="3">
        <v>1494</v>
      </c>
    </row>
    <row r="1496" spans="1:12" x14ac:dyDescent="0.15">
      <c r="A1496" s="1" t="s">
        <v>1009</v>
      </c>
      <c r="B1496" s="1" t="s">
        <v>1449</v>
      </c>
      <c r="D1496" s="1" t="s">
        <v>2186</v>
      </c>
      <c r="E1496" s="1" t="s">
        <v>5608</v>
      </c>
      <c r="F1496" s="3">
        <v>0</v>
      </c>
      <c r="G1496" s="8" t="s">
        <v>2772</v>
      </c>
      <c r="H1496" s="8" t="s">
        <v>5159</v>
      </c>
      <c r="I1496" s="3">
        <v>32</v>
      </c>
      <c r="J1496" s="3" t="s">
        <v>5609</v>
      </c>
      <c r="K1496" s="17" t="str">
        <f>HYPERLINK("http://ictvonline.org/taxonomyHistory.asp?taxnode_id=20175583","ICTVonline=20175583")</f>
        <v>ICTVonline=20175583</v>
      </c>
      <c r="L1496" s="3">
        <v>1495</v>
      </c>
    </row>
    <row r="1497" spans="1:12" x14ac:dyDescent="0.15">
      <c r="A1497" s="1" t="s">
        <v>1009</v>
      </c>
      <c r="B1497" s="1" t="s">
        <v>1449</v>
      </c>
      <c r="D1497" s="1" t="s">
        <v>2186</v>
      </c>
      <c r="E1497" s="1" t="s">
        <v>3720</v>
      </c>
      <c r="F1497" s="3">
        <v>0</v>
      </c>
      <c r="G1497" s="8" t="s">
        <v>2772</v>
      </c>
      <c r="H1497" s="8" t="s">
        <v>5162</v>
      </c>
      <c r="I1497" s="3">
        <v>30</v>
      </c>
      <c r="J1497" s="3" t="s">
        <v>5589</v>
      </c>
      <c r="K1497" s="17" t="str">
        <f>HYPERLINK("http://ictvonline.org/taxonomyHistory.asp?taxnode_id=20171775","ICTVonline=20171775")</f>
        <v>ICTVonline=20171775</v>
      </c>
      <c r="L1497" s="3">
        <v>1496</v>
      </c>
    </row>
    <row r="1498" spans="1:12" x14ac:dyDescent="0.15">
      <c r="A1498" s="1" t="s">
        <v>1009</v>
      </c>
      <c r="B1498" s="1" t="s">
        <v>1449</v>
      </c>
      <c r="D1498" s="1" t="s">
        <v>2186</v>
      </c>
      <c r="E1498" s="1" t="s">
        <v>4794</v>
      </c>
      <c r="F1498" s="3">
        <v>0</v>
      </c>
      <c r="G1498" s="8" t="s">
        <v>2772</v>
      </c>
      <c r="H1498" s="8" t="s">
        <v>5159</v>
      </c>
      <c r="I1498" s="3">
        <v>31</v>
      </c>
      <c r="J1498" s="3" t="s">
        <v>5607</v>
      </c>
      <c r="K1498" s="17" t="str">
        <f>HYPERLINK("http://ictvonline.org/taxonomyHistory.asp?taxnode_id=20171776","ICTVonline=20171776")</f>
        <v>ICTVonline=20171776</v>
      </c>
      <c r="L1498" s="3">
        <v>1497</v>
      </c>
    </row>
    <row r="1499" spans="1:12" x14ac:dyDescent="0.15">
      <c r="A1499" s="1" t="s">
        <v>1009</v>
      </c>
      <c r="B1499" s="1" t="s">
        <v>1449</v>
      </c>
      <c r="D1499" s="1" t="s">
        <v>2186</v>
      </c>
      <c r="E1499" s="1" t="s">
        <v>4795</v>
      </c>
      <c r="F1499" s="3">
        <v>0</v>
      </c>
      <c r="G1499" s="8" t="s">
        <v>2772</v>
      </c>
      <c r="H1499" s="8" t="s">
        <v>5159</v>
      </c>
      <c r="I1499" s="3">
        <v>31</v>
      </c>
      <c r="J1499" s="3" t="s">
        <v>5607</v>
      </c>
      <c r="K1499" s="17" t="str">
        <f>HYPERLINK("http://ictvonline.org/taxonomyHistory.asp?taxnode_id=20171777","ICTVonline=20171777")</f>
        <v>ICTVonline=20171777</v>
      </c>
      <c r="L1499" s="3">
        <v>1498</v>
      </c>
    </row>
    <row r="1500" spans="1:12" x14ac:dyDescent="0.15">
      <c r="A1500" s="1" t="s">
        <v>1009</v>
      </c>
      <c r="B1500" s="1" t="s">
        <v>1449</v>
      </c>
      <c r="D1500" s="1" t="s">
        <v>2186</v>
      </c>
      <c r="E1500" s="1" t="s">
        <v>4796</v>
      </c>
      <c r="F1500" s="3">
        <v>0</v>
      </c>
      <c r="G1500" s="8" t="s">
        <v>2772</v>
      </c>
      <c r="H1500" s="8" t="s">
        <v>5159</v>
      </c>
      <c r="I1500" s="3">
        <v>31</v>
      </c>
      <c r="J1500" s="3" t="s">
        <v>5607</v>
      </c>
      <c r="K1500" s="17" t="str">
        <f>HYPERLINK("http://ictvonline.org/taxonomyHistory.asp?taxnode_id=20171778","ICTVonline=20171778")</f>
        <v>ICTVonline=20171778</v>
      </c>
      <c r="L1500" s="3">
        <v>1499</v>
      </c>
    </row>
    <row r="1501" spans="1:12" x14ac:dyDescent="0.15">
      <c r="A1501" s="1" t="s">
        <v>1009</v>
      </c>
      <c r="B1501" s="1" t="s">
        <v>1449</v>
      </c>
      <c r="D1501" s="1" t="s">
        <v>2186</v>
      </c>
      <c r="E1501" s="1" t="s">
        <v>3721</v>
      </c>
      <c r="F1501" s="3">
        <v>1</v>
      </c>
      <c r="G1501" s="8" t="s">
        <v>2772</v>
      </c>
      <c r="H1501" s="8" t="s">
        <v>5162</v>
      </c>
      <c r="I1501" s="3">
        <v>30</v>
      </c>
      <c r="J1501" s="3" t="s">
        <v>5589</v>
      </c>
      <c r="K1501" s="17" t="str">
        <f>HYPERLINK("http://ictvonline.org/taxonomyHistory.asp?taxnode_id=20171779","ICTVonline=20171779")</f>
        <v>ICTVonline=20171779</v>
      </c>
      <c r="L1501" s="3">
        <v>1500</v>
      </c>
    </row>
    <row r="1502" spans="1:12" x14ac:dyDescent="0.15">
      <c r="A1502" s="1" t="s">
        <v>1009</v>
      </c>
      <c r="B1502" s="1" t="s">
        <v>1449</v>
      </c>
      <c r="D1502" s="1" t="s">
        <v>2320</v>
      </c>
      <c r="E1502" s="1" t="s">
        <v>3722</v>
      </c>
      <c r="F1502" s="3">
        <v>1</v>
      </c>
      <c r="G1502" s="8" t="s">
        <v>2772</v>
      </c>
      <c r="H1502" s="8" t="s">
        <v>5162</v>
      </c>
      <c r="I1502" s="3">
        <v>30</v>
      </c>
      <c r="J1502" s="3" t="s">
        <v>5589</v>
      </c>
      <c r="K1502" s="17" t="str">
        <f>HYPERLINK("http://ictvonline.org/taxonomyHistory.asp?taxnode_id=20171781","ICTVonline=20171781")</f>
        <v>ICTVonline=20171781</v>
      </c>
      <c r="L1502" s="3">
        <v>1501</v>
      </c>
    </row>
    <row r="1503" spans="1:12" x14ac:dyDescent="0.15">
      <c r="A1503" s="1" t="s">
        <v>1009</v>
      </c>
      <c r="B1503" s="1" t="s">
        <v>1449</v>
      </c>
      <c r="D1503" s="1" t="s">
        <v>2320</v>
      </c>
      <c r="E1503" s="1" t="s">
        <v>4797</v>
      </c>
      <c r="F1503" s="3">
        <v>0</v>
      </c>
      <c r="G1503" s="8" t="s">
        <v>2772</v>
      </c>
      <c r="H1503" s="8" t="s">
        <v>5159</v>
      </c>
      <c r="I1503" s="3">
        <v>31</v>
      </c>
      <c r="J1503" s="3" t="s">
        <v>5610</v>
      </c>
      <c r="K1503" s="17" t="str">
        <f>HYPERLINK("http://ictvonline.org/taxonomyHistory.asp?taxnode_id=20171782","ICTVonline=20171782")</f>
        <v>ICTVonline=20171782</v>
      </c>
      <c r="L1503" s="3">
        <v>1502</v>
      </c>
    </row>
    <row r="1504" spans="1:12" x14ac:dyDescent="0.15">
      <c r="A1504" s="1" t="s">
        <v>1009</v>
      </c>
      <c r="B1504" s="1" t="s">
        <v>1449</v>
      </c>
      <c r="D1504" s="1" t="s">
        <v>2320</v>
      </c>
      <c r="E1504" s="1" t="s">
        <v>3723</v>
      </c>
      <c r="F1504" s="3">
        <v>0</v>
      </c>
      <c r="G1504" s="8" t="s">
        <v>2772</v>
      </c>
      <c r="H1504" s="8" t="s">
        <v>5162</v>
      </c>
      <c r="I1504" s="3">
        <v>30</v>
      </c>
      <c r="J1504" s="3" t="s">
        <v>5589</v>
      </c>
      <c r="K1504" s="17" t="str">
        <f>HYPERLINK("http://ictvonline.org/taxonomyHistory.asp?taxnode_id=20171783","ICTVonline=20171783")</f>
        <v>ICTVonline=20171783</v>
      </c>
      <c r="L1504" s="3">
        <v>1503</v>
      </c>
    </row>
    <row r="1505" spans="1:12" x14ac:dyDescent="0.15">
      <c r="A1505" s="1" t="s">
        <v>1009</v>
      </c>
      <c r="B1505" s="1" t="s">
        <v>1449</v>
      </c>
      <c r="D1505" s="1" t="s">
        <v>908</v>
      </c>
      <c r="E1505" s="1" t="s">
        <v>1358</v>
      </c>
      <c r="F1505" s="3">
        <v>0</v>
      </c>
      <c r="G1505" s="8" t="s">
        <v>2772</v>
      </c>
      <c r="H1505" s="8" t="s">
        <v>5159</v>
      </c>
      <c r="I1505" s="3">
        <v>26</v>
      </c>
      <c r="J1505" s="3" t="s">
        <v>5611</v>
      </c>
      <c r="K1505" s="17" t="str">
        <f>HYPERLINK("http://ictvonline.org/taxonomyHistory.asp?taxnode_id=20171785","ICTVonline=20171785")</f>
        <v>ICTVonline=20171785</v>
      </c>
      <c r="L1505" s="3">
        <v>1504</v>
      </c>
    </row>
    <row r="1506" spans="1:12" x14ac:dyDescent="0.15">
      <c r="A1506" s="1" t="s">
        <v>1009</v>
      </c>
      <c r="B1506" s="1" t="s">
        <v>1449</v>
      </c>
      <c r="D1506" s="1" t="s">
        <v>1532</v>
      </c>
      <c r="E1506" s="1" t="s">
        <v>3724</v>
      </c>
      <c r="F1506" s="3">
        <v>1</v>
      </c>
      <c r="G1506" s="8" t="s">
        <v>2772</v>
      </c>
      <c r="H1506" s="8" t="s">
        <v>5160</v>
      </c>
      <c r="I1506" s="3">
        <v>30</v>
      </c>
      <c r="J1506" s="3" t="s">
        <v>5589</v>
      </c>
      <c r="K1506" s="17" t="str">
        <f>HYPERLINK("http://ictvonline.org/taxonomyHistory.asp?taxnode_id=20171787","ICTVonline=20171787")</f>
        <v>ICTVonline=20171787</v>
      </c>
      <c r="L1506" s="3">
        <v>1505</v>
      </c>
    </row>
    <row r="1507" spans="1:12" x14ac:dyDescent="0.15">
      <c r="A1507" s="1" t="s">
        <v>1009</v>
      </c>
      <c r="B1507" s="1" t="s">
        <v>1449</v>
      </c>
      <c r="D1507" s="1" t="s">
        <v>1451</v>
      </c>
      <c r="E1507" s="1" t="s">
        <v>3725</v>
      </c>
      <c r="F1507" s="3">
        <v>0</v>
      </c>
      <c r="G1507" s="8" t="s">
        <v>2772</v>
      </c>
      <c r="H1507" s="8" t="s">
        <v>5162</v>
      </c>
      <c r="I1507" s="3">
        <v>30</v>
      </c>
      <c r="J1507" s="3" t="s">
        <v>5589</v>
      </c>
      <c r="K1507" s="17" t="str">
        <f>HYPERLINK("http://ictvonline.org/taxonomyHistory.asp?taxnode_id=20171789","ICTVonline=20171789")</f>
        <v>ICTVonline=20171789</v>
      </c>
      <c r="L1507" s="3">
        <v>1506</v>
      </c>
    </row>
    <row r="1508" spans="1:12" x14ac:dyDescent="0.15">
      <c r="A1508" s="1" t="s">
        <v>1009</v>
      </c>
      <c r="B1508" s="1" t="s">
        <v>1449</v>
      </c>
      <c r="D1508" s="1" t="s">
        <v>1451</v>
      </c>
      <c r="E1508" s="1" t="s">
        <v>4798</v>
      </c>
      <c r="F1508" s="3">
        <v>0</v>
      </c>
      <c r="G1508" s="8" t="s">
        <v>2772</v>
      </c>
      <c r="H1508" s="8" t="s">
        <v>5159</v>
      </c>
      <c r="I1508" s="3">
        <v>31</v>
      </c>
      <c r="J1508" s="3" t="s">
        <v>5612</v>
      </c>
      <c r="K1508" s="17" t="str">
        <f>HYPERLINK("http://ictvonline.org/taxonomyHistory.asp?taxnode_id=20171790","ICTVonline=20171790")</f>
        <v>ICTVonline=20171790</v>
      </c>
      <c r="L1508" s="3">
        <v>1507</v>
      </c>
    </row>
    <row r="1509" spans="1:12" x14ac:dyDescent="0.15">
      <c r="A1509" s="1" t="s">
        <v>1009</v>
      </c>
      <c r="B1509" s="1" t="s">
        <v>1449</v>
      </c>
      <c r="D1509" s="1" t="s">
        <v>1451</v>
      </c>
      <c r="E1509" s="1" t="s">
        <v>3726</v>
      </c>
      <c r="F1509" s="3">
        <v>0</v>
      </c>
      <c r="G1509" s="8" t="s">
        <v>2772</v>
      </c>
      <c r="H1509" s="8" t="s">
        <v>5162</v>
      </c>
      <c r="I1509" s="3">
        <v>30</v>
      </c>
      <c r="J1509" s="3" t="s">
        <v>5589</v>
      </c>
      <c r="K1509" s="17" t="str">
        <f>HYPERLINK("http://ictvonline.org/taxonomyHistory.asp?taxnode_id=20171791","ICTVonline=20171791")</f>
        <v>ICTVonline=20171791</v>
      </c>
      <c r="L1509" s="3">
        <v>1508</v>
      </c>
    </row>
    <row r="1510" spans="1:12" x14ac:dyDescent="0.15">
      <c r="A1510" s="1" t="s">
        <v>1009</v>
      </c>
      <c r="B1510" s="1" t="s">
        <v>1449</v>
      </c>
      <c r="D1510" s="1" t="s">
        <v>1451</v>
      </c>
      <c r="E1510" s="1" t="s">
        <v>3727</v>
      </c>
      <c r="F1510" s="3">
        <v>0</v>
      </c>
      <c r="G1510" s="8" t="s">
        <v>2772</v>
      </c>
      <c r="H1510" s="8" t="s">
        <v>5162</v>
      </c>
      <c r="I1510" s="3">
        <v>30</v>
      </c>
      <c r="J1510" s="3" t="s">
        <v>5589</v>
      </c>
      <c r="K1510" s="17" t="str">
        <f>HYPERLINK("http://ictvonline.org/taxonomyHistory.asp?taxnode_id=20171792","ICTVonline=20171792")</f>
        <v>ICTVonline=20171792</v>
      </c>
      <c r="L1510" s="3">
        <v>1509</v>
      </c>
    </row>
    <row r="1511" spans="1:12" x14ac:dyDescent="0.15">
      <c r="A1511" s="1" t="s">
        <v>1009</v>
      </c>
      <c r="B1511" s="1" t="s">
        <v>1449</v>
      </c>
      <c r="D1511" s="1" t="s">
        <v>1451</v>
      </c>
      <c r="E1511" s="1" t="s">
        <v>3728</v>
      </c>
      <c r="F1511" s="3">
        <v>0</v>
      </c>
      <c r="G1511" s="8" t="s">
        <v>2772</v>
      </c>
      <c r="H1511" s="8" t="s">
        <v>5162</v>
      </c>
      <c r="I1511" s="3">
        <v>30</v>
      </c>
      <c r="J1511" s="3" t="s">
        <v>5589</v>
      </c>
      <c r="K1511" s="17" t="str">
        <f>HYPERLINK("http://ictvonline.org/taxonomyHistory.asp?taxnode_id=20171793","ICTVonline=20171793")</f>
        <v>ICTVonline=20171793</v>
      </c>
      <c r="L1511" s="3">
        <v>1510</v>
      </c>
    </row>
    <row r="1512" spans="1:12" x14ac:dyDescent="0.15">
      <c r="A1512" s="1" t="s">
        <v>1009</v>
      </c>
      <c r="B1512" s="1" t="s">
        <v>1449</v>
      </c>
      <c r="D1512" s="1" t="s">
        <v>1451</v>
      </c>
      <c r="E1512" s="1" t="s">
        <v>3729</v>
      </c>
      <c r="F1512" s="3">
        <v>1</v>
      </c>
      <c r="G1512" s="8" t="s">
        <v>2772</v>
      </c>
      <c r="H1512" s="8" t="s">
        <v>5162</v>
      </c>
      <c r="I1512" s="3">
        <v>30</v>
      </c>
      <c r="J1512" s="3" t="s">
        <v>5589</v>
      </c>
      <c r="K1512" s="17" t="str">
        <f>HYPERLINK("http://ictvonline.org/taxonomyHistory.asp?taxnode_id=20171794","ICTVonline=20171794")</f>
        <v>ICTVonline=20171794</v>
      </c>
      <c r="L1512" s="3">
        <v>1511</v>
      </c>
    </row>
    <row r="1513" spans="1:12" x14ac:dyDescent="0.15">
      <c r="A1513" s="1" t="s">
        <v>1009</v>
      </c>
      <c r="B1513" s="1" t="s">
        <v>1449</v>
      </c>
      <c r="D1513" s="1" t="s">
        <v>1451</v>
      </c>
      <c r="E1513" s="1" t="s">
        <v>3730</v>
      </c>
      <c r="F1513" s="3">
        <v>0</v>
      </c>
      <c r="G1513" s="8" t="s">
        <v>2772</v>
      </c>
      <c r="H1513" s="8" t="s">
        <v>5162</v>
      </c>
      <c r="I1513" s="3">
        <v>30</v>
      </c>
      <c r="J1513" s="3" t="s">
        <v>5589</v>
      </c>
      <c r="K1513" s="17" t="str">
        <f>HYPERLINK("http://ictvonline.org/taxonomyHistory.asp?taxnode_id=20171795","ICTVonline=20171795")</f>
        <v>ICTVonline=20171795</v>
      </c>
      <c r="L1513" s="3">
        <v>1512</v>
      </c>
    </row>
    <row r="1514" spans="1:12" x14ac:dyDescent="0.15">
      <c r="A1514" s="1" t="s">
        <v>1009</v>
      </c>
      <c r="B1514" s="1" t="s">
        <v>1449</v>
      </c>
      <c r="D1514" s="1" t="s">
        <v>1451</v>
      </c>
      <c r="E1514" s="1" t="s">
        <v>4799</v>
      </c>
      <c r="F1514" s="3">
        <v>0</v>
      </c>
      <c r="G1514" s="8" t="s">
        <v>2772</v>
      </c>
      <c r="H1514" s="8" t="s">
        <v>5159</v>
      </c>
      <c r="I1514" s="3">
        <v>31</v>
      </c>
      <c r="J1514" s="3" t="s">
        <v>5612</v>
      </c>
      <c r="K1514" s="17" t="str">
        <f>HYPERLINK("http://ictvonline.org/taxonomyHistory.asp?taxnode_id=20171796","ICTVonline=20171796")</f>
        <v>ICTVonline=20171796</v>
      </c>
      <c r="L1514" s="3">
        <v>1513</v>
      </c>
    </row>
    <row r="1515" spans="1:12" x14ac:dyDescent="0.15">
      <c r="A1515" s="1" t="s">
        <v>1009</v>
      </c>
      <c r="B1515" s="1" t="s">
        <v>1449</v>
      </c>
      <c r="D1515" s="1" t="s">
        <v>1451</v>
      </c>
      <c r="E1515" s="1" t="s">
        <v>4800</v>
      </c>
      <c r="F1515" s="3">
        <v>0</v>
      </c>
      <c r="G1515" s="8" t="s">
        <v>2772</v>
      </c>
      <c r="H1515" s="8" t="s">
        <v>5159</v>
      </c>
      <c r="I1515" s="3">
        <v>31</v>
      </c>
      <c r="J1515" s="3" t="s">
        <v>5612</v>
      </c>
      <c r="K1515" s="17" t="str">
        <f>HYPERLINK("http://ictvonline.org/taxonomyHistory.asp?taxnode_id=20171797","ICTVonline=20171797")</f>
        <v>ICTVonline=20171797</v>
      </c>
      <c r="L1515" s="3">
        <v>1514</v>
      </c>
    </row>
    <row r="1516" spans="1:12" x14ac:dyDescent="0.15">
      <c r="A1516" s="1" t="s">
        <v>1009</v>
      </c>
      <c r="B1516" s="1" t="s">
        <v>1449</v>
      </c>
      <c r="D1516" s="1" t="s">
        <v>1451</v>
      </c>
      <c r="E1516" s="1" t="s">
        <v>3731</v>
      </c>
      <c r="F1516" s="3">
        <v>0</v>
      </c>
      <c r="G1516" s="8" t="s">
        <v>2772</v>
      </c>
      <c r="H1516" s="8" t="s">
        <v>5162</v>
      </c>
      <c r="I1516" s="3">
        <v>30</v>
      </c>
      <c r="J1516" s="3" t="s">
        <v>5589</v>
      </c>
      <c r="K1516" s="17" t="str">
        <f>HYPERLINK("http://ictvonline.org/taxonomyHistory.asp?taxnode_id=20171798","ICTVonline=20171798")</f>
        <v>ICTVonline=20171798</v>
      </c>
      <c r="L1516" s="3">
        <v>1515</v>
      </c>
    </row>
    <row r="1517" spans="1:12" x14ac:dyDescent="0.15">
      <c r="A1517" s="1" t="s">
        <v>1009</v>
      </c>
      <c r="B1517" s="1" t="s">
        <v>1449</v>
      </c>
      <c r="D1517" s="1" t="s">
        <v>1451</v>
      </c>
      <c r="E1517" s="1" t="s">
        <v>4801</v>
      </c>
      <c r="F1517" s="3">
        <v>0</v>
      </c>
      <c r="G1517" s="8" t="s">
        <v>2772</v>
      </c>
      <c r="H1517" s="8" t="s">
        <v>5159</v>
      </c>
      <c r="I1517" s="3">
        <v>31</v>
      </c>
      <c r="J1517" s="3" t="s">
        <v>5612</v>
      </c>
      <c r="K1517" s="17" t="str">
        <f>HYPERLINK("http://ictvonline.org/taxonomyHistory.asp?taxnode_id=20171799","ICTVonline=20171799")</f>
        <v>ICTVonline=20171799</v>
      </c>
      <c r="L1517" s="3">
        <v>1516</v>
      </c>
    </row>
    <row r="1518" spans="1:12" x14ac:dyDescent="0.15">
      <c r="A1518" s="1" t="s">
        <v>1009</v>
      </c>
      <c r="B1518" s="1" t="s">
        <v>1449</v>
      </c>
      <c r="D1518" s="1" t="s">
        <v>1451</v>
      </c>
      <c r="E1518" s="1" t="s">
        <v>3732</v>
      </c>
      <c r="F1518" s="3">
        <v>0</v>
      </c>
      <c r="G1518" s="8" t="s">
        <v>2772</v>
      </c>
      <c r="H1518" s="8" t="s">
        <v>5162</v>
      </c>
      <c r="I1518" s="3">
        <v>30</v>
      </c>
      <c r="J1518" s="3" t="s">
        <v>5589</v>
      </c>
      <c r="K1518" s="17" t="str">
        <f>HYPERLINK("http://ictvonline.org/taxonomyHistory.asp?taxnode_id=20171800","ICTVonline=20171800")</f>
        <v>ICTVonline=20171800</v>
      </c>
      <c r="L1518" s="3">
        <v>1517</v>
      </c>
    </row>
    <row r="1519" spans="1:12" x14ac:dyDescent="0.15">
      <c r="A1519" s="1" t="s">
        <v>1009</v>
      </c>
      <c r="B1519" s="1" t="s">
        <v>1449</v>
      </c>
      <c r="D1519" s="1" t="s">
        <v>1451</v>
      </c>
      <c r="E1519" s="1" t="s">
        <v>4802</v>
      </c>
      <c r="F1519" s="3">
        <v>0</v>
      </c>
      <c r="G1519" s="8" t="s">
        <v>2772</v>
      </c>
      <c r="H1519" s="8" t="s">
        <v>5159</v>
      </c>
      <c r="I1519" s="3">
        <v>31</v>
      </c>
      <c r="J1519" s="3" t="s">
        <v>5612</v>
      </c>
      <c r="K1519" s="17" t="str">
        <f>HYPERLINK("http://ictvonline.org/taxonomyHistory.asp?taxnode_id=20171801","ICTVonline=20171801")</f>
        <v>ICTVonline=20171801</v>
      </c>
      <c r="L1519" s="3">
        <v>1518</v>
      </c>
    </row>
    <row r="1520" spans="1:12" x14ac:dyDescent="0.15">
      <c r="A1520" s="1" t="s">
        <v>1009</v>
      </c>
      <c r="B1520" s="1" t="s">
        <v>1449</v>
      </c>
      <c r="D1520" s="1" t="s">
        <v>1451</v>
      </c>
      <c r="E1520" s="1" t="s">
        <v>3733</v>
      </c>
      <c r="F1520" s="3">
        <v>0</v>
      </c>
      <c r="G1520" s="8" t="s">
        <v>2772</v>
      </c>
      <c r="H1520" s="8" t="s">
        <v>5162</v>
      </c>
      <c r="I1520" s="3">
        <v>30</v>
      </c>
      <c r="J1520" s="3" t="s">
        <v>5589</v>
      </c>
      <c r="K1520" s="17" t="str">
        <f>HYPERLINK("http://ictvonline.org/taxonomyHistory.asp?taxnode_id=20171802","ICTVonline=20171802")</f>
        <v>ICTVonline=20171802</v>
      </c>
      <c r="L1520" s="3">
        <v>1519</v>
      </c>
    </row>
    <row r="1521" spans="1:12" x14ac:dyDescent="0.15">
      <c r="A1521" s="1" t="s">
        <v>1009</v>
      </c>
      <c r="B1521" s="1" t="s">
        <v>1449</v>
      </c>
      <c r="D1521" s="1" t="s">
        <v>1451</v>
      </c>
      <c r="E1521" s="1" t="s">
        <v>4803</v>
      </c>
      <c r="F1521" s="3">
        <v>0</v>
      </c>
      <c r="G1521" s="8" t="s">
        <v>2772</v>
      </c>
      <c r="H1521" s="8" t="s">
        <v>5159</v>
      </c>
      <c r="I1521" s="3">
        <v>31</v>
      </c>
      <c r="J1521" s="3" t="s">
        <v>5612</v>
      </c>
      <c r="K1521" s="17" t="str">
        <f>HYPERLINK("http://ictvonline.org/taxonomyHistory.asp?taxnode_id=20171803","ICTVonline=20171803")</f>
        <v>ICTVonline=20171803</v>
      </c>
      <c r="L1521" s="3">
        <v>1520</v>
      </c>
    </row>
    <row r="1522" spans="1:12" x14ac:dyDescent="0.15">
      <c r="A1522" s="1" t="s">
        <v>1009</v>
      </c>
      <c r="B1522" s="1" t="s">
        <v>1449</v>
      </c>
      <c r="D1522" s="1" t="s">
        <v>1451</v>
      </c>
      <c r="E1522" s="1" t="s">
        <v>4804</v>
      </c>
      <c r="F1522" s="3">
        <v>0</v>
      </c>
      <c r="G1522" s="8" t="s">
        <v>2772</v>
      </c>
      <c r="H1522" s="8" t="s">
        <v>5159</v>
      </c>
      <c r="I1522" s="3">
        <v>31</v>
      </c>
      <c r="J1522" s="3" t="s">
        <v>5612</v>
      </c>
      <c r="K1522" s="17" t="str">
        <f>HYPERLINK("http://ictvonline.org/taxonomyHistory.asp?taxnode_id=20171804","ICTVonline=20171804")</f>
        <v>ICTVonline=20171804</v>
      </c>
      <c r="L1522" s="3">
        <v>1521</v>
      </c>
    </row>
    <row r="1523" spans="1:12" x14ac:dyDescent="0.15">
      <c r="A1523" s="1" t="s">
        <v>1009</v>
      </c>
      <c r="B1523" s="1" t="s">
        <v>3734</v>
      </c>
      <c r="D1523" s="1" t="s">
        <v>3735</v>
      </c>
      <c r="E1523" s="1" t="s">
        <v>3736</v>
      </c>
      <c r="F1523" s="3">
        <v>1</v>
      </c>
      <c r="G1523" s="8" t="s">
        <v>2772</v>
      </c>
      <c r="H1523" s="8" t="s">
        <v>5159</v>
      </c>
      <c r="I1523" s="3">
        <v>30</v>
      </c>
      <c r="J1523" s="3" t="s">
        <v>5613</v>
      </c>
      <c r="K1523" s="17" t="str">
        <f>HYPERLINK("http://ictvonline.org/taxonomyHistory.asp?taxnode_id=20171808","ICTVonline=20171808")</f>
        <v>ICTVonline=20171808</v>
      </c>
      <c r="L1523" s="3">
        <v>1522</v>
      </c>
    </row>
    <row r="1524" spans="1:12" x14ac:dyDescent="0.15">
      <c r="A1524" s="1" t="s">
        <v>1009</v>
      </c>
      <c r="B1524" s="1" t="s">
        <v>908</v>
      </c>
      <c r="D1524" s="1" t="s">
        <v>3737</v>
      </c>
      <c r="E1524" s="1" t="s">
        <v>3738</v>
      </c>
      <c r="F1524" s="3">
        <v>1</v>
      </c>
      <c r="G1524" s="8" t="s">
        <v>2772</v>
      </c>
      <c r="H1524" s="8" t="s">
        <v>5159</v>
      </c>
      <c r="I1524" s="3">
        <v>30</v>
      </c>
      <c r="J1524" s="3" t="s">
        <v>5614</v>
      </c>
      <c r="K1524" s="17" t="str">
        <f>HYPERLINK("http://ictvonline.org/taxonomyHistory.asp?taxnode_id=20171812","ICTVonline=20171812")</f>
        <v>ICTVonline=20171812</v>
      </c>
      <c r="L1524" s="3">
        <v>1523</v>
      </c>
    </row>
    <row r="1525" spans="1:12" x14ac:dyDescent="0.15">
      <c r="A1525" s="1" t="s">
        <v>1009</v>
      </c>
      <c r="B1525" s="1" t="s">
        <v>908</v>
      </c>
      <c r="D1525" s="1" t="s">
        <v>3739</v>
      </c>
      <c r="E1525" s="1" t="s">
        <v>3740</v>
      </c>
      <c r="F1525" s="3">
        <v>1</v>
      </c>
      <c r="G1525" s="8" t="s">
        <v>2772</v>
      </c>
      <c r="H1525" s="8" t="s">
        <v>5159</v>
      </c>
      <c r="I1525" s="3">
        <v>30</v>
      </c>
      <c r="J1525" s="3" t="s">
        <v>5614</v>
      </c>
      <c r="K1525" s="17" t="str">
        <f>HYPERLINK("http://ictvonline.org/taxonomyHistory.asp?taxnode_id=20171814","ICTVonline=20171814")</f>
        <v>ICTVonline=20171814</v>
      </c>
      <c r="L1525" s="3">
        <v>1524</v>
      </c>
    </row>
    <row r="1526" spans="1:12" x14ac:dyDescent="0.15">
      <c r="A1526" s="1" t="s">
        <v>1009</v>
      </c>
      <c r="B1526" s="1" t="s">
        <v>908</v>
      </c>
      <c r="D1526" s="1" t="s">
        <v>3741</v>
      </c>
      <c r="E1526" s="1" t="s">
        <v>3742</v>
      </c>
      <c r="F1526" s="3">
        <v>1</v>
      </c>
      <c r="G1526" s="8" t="s">
        <v>2772</v>
      </c>
      <c r="H1526" s="8" t="s">
        <v>5159</v>
      </c>
      <c r="I1526" s="3">
        <v>30</v>
      </c>
      <c r="J1526" s="3" t="s">
        <v>5614</v>
      </c>
      <c r="K1526" s="17" t="str">
        <f>HYPERLINK("http://ictvonline.org/taxonomyHistory.asp?taxnode_id=20171816","ICTVonline=20171816")</f>
        <v>ICTVonline=20171816</v>
      </c>
      <c r="L1526" s="3">
        <v>1525</v>
      </c>
    </row>
    <row r="1527" spans="1:12" x14ac:dyDescent="0.15">
      <c r="A1527" s="1" t="s">
        <v>1009</v>
      </c>
      <c r="B1527" s="1" t="s">
        <v>908</v>
      </c>
      <c r="D1527" s="1" t="s">
        <v>3743</v>
      </c>
      <c r="E1527" s="1" t="s">
        <v>3744</v>
      </c>
      <c r="F1527" s="3">
        <v>1</v>
      </c>
      <c r="G1527" s="8" t="s">
        <v>2772</v>
      </c>
      <c r="H1527" s="8" t="s">
        <v>5159</v>
      </c>
      <c r="I1527" s="3">
        <v>30</v>
      </c>
      <c r="J1527" s="3" t="s">
        <v>5614</v>
      </c>
      <c r="K1527" s="17" t="str">
        <f>HYPERLINK("http://ictvonline.org/taxonomyHistory.asp?taxnode_id=20171818","ICTVonline=20171818")</f>
        <v>ICTVonline=20171818</v>
      </c>
      <c r="L1527" s="3">
        <v>1526</v>
      </c>
    </row>
    <row r="1528" spans="1:12" x14ac:dyDescent="0.15">
      <c r="A1528" s="1" t="s">
        <v>1009</v>
      </c>
      <c r="B1528" s="1" t="s">
        <v>908</v>
      </c>
      <c r="D1528" s="1" t="s">
        <v>3745</v>
      </c>
      <c r="E1528" s="1" t="s">
        <v>3746</v>
      </c>
      <c r="F1528" s="3">
        <v>1</v>
      </c>
      <c r="G1528" s="8" t="s">
        <v>2772</v>
      </c>
      <c r="H1528" s="8" t="s">
        <v>5159</v>
      </c>
      <c r="I1528" s="3">
        <v>30</v>
      </c>
      <c r="J1528" s="3" t="s">
        <v>5614</v>
      </c>
      <c r="K1528" s="17" t="str">
        <f>HYPERLINK("http://ictvonline.org/taxonomyHistory.asp?taxnode_id=20171820","ICTVonline=20171820")</f>
        <v>ICTVonline=20171820</v>
      </c>
      <c r="L1528" s="3">
        <v>1527</v>
      </c>
    </row>
    <row r="1529" spans="1:12" x14ac:dyDescent="0.15">
      <c r="A1529" s="1" t="s">
        <v>1452</v>
      </c>
      <c r="B1529" s="1" t="s">
        <v>1453</v>
      </c>
      <c r="D1529" s="1" t="s">
        <v>5615</v>
      </c>
      <c r="E1529" s="1" t="s">
        <v>3755</v>
      </c>
      <c r="F1529" s="3">
        <v>1</v>
      </c>
      <c r="G1529" s="8" t="s">
        <v>2773</v>
      </c>
      <c r="H1529" s="8" t="s">
        <v>5161</v>
      </c>
      <c r="I1529" s="3">
        <v>31</v>
      </c>
      <c r="J1529" s="3" t="s">
        <v>5616</v>
      </c>
      <c r="K1529" s="17" t="str">
        <f>HYPERLINK("http://ictvonline.org/taxonomyHistory.asp?taxnode_id=20171825","ICTVonline=20171825")</f>
        <v>ICTVonline=20171825</v>
      </c>
      <c r="L1529" s="3">
        <v>1528</v>
      </c>
    </row>
    <row r="1530" spans="1:12" x14ac:dyDescent="0.15">
      <c r="A1530" s="1" t="s">
        <v>1452</v>
      </c>
      <c r="B1530" s="1" t="s">
        <v>1453</v>
      </c>
      <c r="D1530" s="1" t="s">
        <v>5617</v>
      </c>
      <c r="E1530" s="1" t="s">
        <v>1454</v>
      </c>
      <c r="F1530" s="3">
        <v>1</v>
      </c>
      <c r="G1530" s="8" t="s">
        <v>2773</v>
      </c>
      <c r="H1530" s="8" t="s">
        <v>5161</v>
      </c>
      <c r="I1530" s="3">
        <v>31</v>
      </c>
      <c r="J1530" s="3" t="s">
        <v>5616</v>
      </c>
      <c r="K1530" s="17" t="str">
        <f>HYPERLINK("http://ictvonline.org/taxonomyHistory.asp?taxnode_id=20171827","ICTVonline=20171827")</f>
        <v>ICTVonline=20171827</v>
      </c>
      <c r="L1530" s="3">
        <v>1529</v>
      </c>
    </row>
    <row r="1531" spans="1:12" x14ac:dyDescent="0.15">
      <c r="A1531" s="1" t="s">
        <v>1452</v>
      </c>
      <c r="B1531" s="1" t="s">
        <v>1453</v>
      </c>
      <c r="D1531" s="1" t="s">
        <v>5618</v>
      </c>
      <c r="E1531" s="1" t="s">
        <v>4298</v>
      </c>
      <c r="F1531" s="3">
        <v>1</v>
      </c>
      <c r="G1531" s="8" t="s">
        <v>2773</v>
      </c>
      <c r="H1531" s="8" t="s">
        <v>5160</v>
      </c>
      <c r="I1531" s="3">
        <v>31</v>
      </c>
      <c r="J1531" s="3" t="s">
        <v>5616</v>
      </c>
      <c r="K1531" s="17" t="str">
        <f>HYPERLINK("http://ictvonline.org/taxonomyHistory.asp?taxnode_id=20171829","ICTVonline=20171829")</f>
        <v>ICTVonline=20171829</v>
      </c>
      <c r="L1531" s="3">
        <v>1530</v>
      </c>
    </row>
    <row r="1532" spans="1:12" x14ac:dyDescent="0.15">
      <c r="A1532" s="1" t="s">
        <v>1452</v>
      </c>
      <c r="B1532" s="1" t="s">
        <v>1453</v>
      </c>
      <c r="D1532" s="1" t="s">
        <v>5619</v>
      </c>
      <c r="E1532" s="1" t="s">
        <v>1455</v>
      </c>
      <c r="F1532" s="3">
        <v>1</v>
      </c>
      <c r="G1532" s="8" t="s">
        <v>2773</v>
      </c>
      <c r="H1532" s="8" t="s">
        <v>5161</v>
      </c>
      <c r="I1532" s="3">
        <v>31</v>
      </c>
      <c r="J1532" s="3" t="s">
        <v>5616</v>
      </c>
      <c r="K1532" s="17" t="str">
        <f>HYPERLINK("http://ictvonline.org/taxonomyHistory.asp?taxnode_id=20171831","ICTVonline=20171831")</f>
        <v>ICTVonline=20171831</v>
      </c>
      <c r="L1532" s="3">
        <v>1531</v>
      </c>
    </row>
    <row r="1533" spans="1:12" x14ac:dyDescent="0.15">
      <c r="A1533" s="1" t="s">
        <v>1452</v>
      </c>
      <c r="B1533" s="1" t="s">
        <v>1453</v>
      </c>
      <c r="D1533" s="1" t="s">
        <v>5619</v>
      </c>
      <c r="E1533" s="1" t="s">
        <v>3752</v>
      </c>
      <c r="F1533" s="3">
        <v>0</v>
      </c>
      <c r="G1533" s="8" t="s">
        <v>2773</v>
      </c>
      <c r="H1533" s="8" t="s">
        <v>5161</v>
      </c>
      <c r="I1533" s="3">
        <v>31</v>
      </c>
      <c r="J1533" s="3" t="s">
        <v>5616</v>
      </c>
      <c r="K1533" s="17" t="str">
        <f>HYPERLINK("http://ictvonline.org/taxonomyHistory.asp?taxnode_id=20171832","ICTVonline=20171832")</f>
        <v>ICTVonline=20171832</v>
      </c>
      <c r="L1533" s="3">
        <v>1532</v>
      </c>
    </row>
    <row r="1534" spans="1:12" x14ac:dyDescent="0.15">
      <c r="A1534" s="1" t="s">
        <v>1452</v>
      </c>
      <c r="B1534" s="1" t="s">
        <v>1453</v>
      </c>
      <c r="D1534" s="1" t="s">
        <v>5619</v>
      </c>
      <c r="E1534" s="1" t="s">
        <v>3753</v>
      </c>
      <c r="F1534" s="3">
        <v>0</v>
      </c>
      <c r="G1534" s="8" t="s">
        <v>2773</v>
      </c>
      <c r="H1534" s="8" t="s">
        <v>5161</v>
      </c>
      <c r="I1534" s="3">
        <v>31</v>
      </c>
      <c r="J1534" s="3" t="s">
        <v>5616</v>
      </c>
      <c r="K1534" s="17" t="str">
        <f>HYPERLINK("http://ictvonline.org/taxonomyHistory.asp?taxnode_id=20171833","ICTVonline=20171833")</f>
        <v>ICTVonline=20171833</v>
      </c>
      <c r="L1534" s="3">
        <v>1533</v>
      </c>
    </row>
    <row r="1535" spans="1:12" x14ac:dyDescent="0.15">
      <c r="A1535" s="1" t="s">
        <v>1452</v>
      </c>
      <c r="B1535" s="1" t="s">
        <v>1453</v>
      </c>
      <c r="D1535" s="1" t="s">
        <v>5619</v>
      </c>
      <c r="E1535" s="1" t="s">
        <v>4805</v>
      </c>
      <c r="F1535" s="3">
        <v>0</v>
      </c>
      <c r="G1535" s="8" t="s">
        <v>2773</v>
      </c>
      <c r="H1535" s="8" t="s">
        <v>5159</v>
      </c>
      <c r="I1535" s="3">
        <v>31</v>
      </c>
      <c r="J1535" s="3" t="s">
        <v>5616</v>
      </c>
      <c r="K1535" s="17" t="str">
        <f>HYPERLINK("http://ictvonline.org/taxonomyHistory.asp?taxnode_id=20171834","ICTVonline=20171834")</f>
        <v>ICTVonline=20171834</v>
      </c>
      <c r="L1535" s="3">
        <v>1534</v>
      </c>
    </row>
    <row r="1536" spans="1:12" x14ac:dyDescent="0.15">
      <c r="A1536" s="1" t="s">
        <v>1452</v>
      </c>
      <c r="B1536" s="1" t="s">
        <v>1453</v>
      </c>
      <c r="D1536" s="1" t="s">
        <v>5620</v>
      </c>
      <c r="E1536" s="1" t="s">
        <v>5621</v>
      </c>
      <c r="F1536" s="3">
        <v>0</v>
      </c>
      <c r="G1536" s="8" t="s">
        <v>2773</v>
      </c>
      <c r="H1536" s="8" t="s">
        <v>5162</v>
      </c>
      <c r="I1536" s="3">
        <v>32</v>
      </c>
      <c r="J1536" s="3" t="s">
        <v>5564</v>
      </c>
      <c r="K1536" s="17" t="str">
        <f>HYPERLINK("http://ictvonline.org/taxonomyHistory.asp?taxnode_id=20171836","ICTVonline=20171836")</f>
        <v>ICTVonline=20171836</v>
      </c>
      <c r="L1536" s="3">
        <v>1535</v>
      </c>
    </row>
    <row r="1537" spans="1:12" x14ac:dyDescent="0.15">
      <c r="A1537" s="1" t="s">
        <v>1452</v>
      </c>
      <c r="B1537" s="1" t="s">
        <v>1453</v>
      </c>
      <c r="D1537" s="1" t="s">
        <v>5620</v>
      </c>
      <c r="E1537" s="1" t="s">
        <v>4806</v>
      </c>
      <c r="F1537" s="3">
        <v>0</v>
      </c>
      <c r="G1537" s="8" t="s">
        <v>2773</v>
      </c>
      <c r="H1537" s="8" t="s">
        <v>5159</v>
      </c>
      <c r="I1537" s="3">
        <v>31</v>
      </c>
      <c r="J1537" s="3" t="s">
        <v>5616</v>
      </c>
      <c r="K1537" s="17" t="str">
        <f>HYPERLINK("http://ictvonline.org/taxonomyHistory.asp?taxnode_id=20171837","ICTVonline=20171837")</f>
        <v>ICTVonline=20171837</v>
      </c>
      <c r="L1537" s="3">
        <v>1536</v>
      </c>
    </row>
    <row r="1538" spans="1:12" x14ac:dyDescent="0.15">
      <c r="A1538" s="1" t="s">
        <v>1452</v>
      </c>
      <c r="B1538" s="1" t="s">
        <v>1453</v>
      </c>
      <c r="D1538" s="1" t="s">
        <v>5620</v>
      </c>
      <c r="E1538" s="1" t="s">
        <v>4807</v>
      </c>
      <c r="F1538" s="3">
        <v>0</v>
      </c>
      <c r="G1538" s="8" t="s">
        <v>2773</v>
      </c>
      <c r="H1538" s="8" t="s">
        <v>5159</v>
      </c>
      <c r="I1538" s="3">
        <v>31</v>
      </c>
      <c r="J1538" s="3" t="s">
        <v>5616</v>
      </c>
      <c r="K1538" s="17" t="str">
        <f>HYPERLINK("http://ictvonline.org/taxonomyHistory.asp?taxnode_id=20171838","ICTVonline=20171838")</f>
        <v>ICTVonline=20171838</v>
      </c>
      <c r="L1538" s="3">
        <v>1537</v>
      </c>
    </row>
    <row r="1539" spans="1:12" x14ac:dyDescent="0.15">
      <c r="A1539" s="1" t="s">
        <v>1452</v>
      </c>
      <c r="B1539" s="1" t="s">
        <v>1453</v>
      </c>
      <c r="D1539" s="1" t="s">
        <v>5620</v>
      </c>
      <c r="E1539" s="1" t="s">
        <v>3747</v>
      </c>
      <c r="F1539" s="3">
        <v>0</v>
      </c>
      <c r="G1539" s="8" t="s">
        <v>2773</v>
      </c>
      <c r="H1539" s="8" t="s">
        <v>5161</v>
      </c>
      <c r="I1539" s="3">
        <v>31</v>
      </c>
      <c r="J1539" s="3" t="s">
        <v>5616</v>
      </c>
      <c r="K1539" s="17" t="str">
        <f>HYPERLINK("http://ictvonline.org/taxonomyHistory.asp?taxnode_id=20171839","ICTVonline=20171839")</f>
        <v>ICTVonline=20171839</v>
      </c>
      <c r="L1539" s="3">
        <v>1538</v>
      </c>
    </row>
    <row r="1540" spans="1:12" x14ac:dyDescent="0.15">
      <c r="A1540" s="1" t="s">
        <v>1452</v>
      </c>
      <c r="B1540" s="1" t="s">
        <v>1453</v>
      </c>
      <c r="D1540" s="1" t="s">
        <v>5620</v>
      </c>
      <c r="E1540" s="1" t="s">
        <v>3748</v>
      </c>
      <c r="F1540" s="3">
        <v>0</v>
      </c>
      <c r="G1540" s="8" t="s">
        <v>2773</v>
      </c>
      <c r="H1540" s="8" t="s">
        <v>5161</v>
      </c>
      <c r="I1540" s="3">
        <v>31</v>
      </c>
      <c r="J1540" s="3" t="s">
        <v>5616</v>
      </c>
      <c r="K1540" s="17" t="str">
        <f>HYPERLINK("http://ictvonline.org/taxonomyHistory.asp?taxnode_id=20171840","ICTVonline=20171840")</f>
        <v>ICTVonline=20171840</v>
      </c>
      <c r="L1540" s="3">
        <v>1539</v>
      </c>
    </row>
    <row r="1541" spans="1:12" x14ac:dyDescent="0.15">
      <c r="A1541" s="1" t="s">
        <v>1452</v>
      </c>
      <c r="B1541" s="1" t="s">
        <v>1453</v>
      </c>
      <c r="D1541" s="1" t="s">
        <v>5620</v>
      </c>
      <c r="E1541" s="1" t="s">
        <v>3749</v>
      </c>
      <c r="F1541" s="3">
        <v>0</v>
      </c>
      <c r="G1541" s="8" t="s">
        <v>2773</v>
      </c>
      <c r="H1541" s="8" t="s">
        <v>5161</v>
      </c>
      <c r="I1541" s="3">
        <v>31</v>
      </c>
      <c r="J1541" s="3" t="s">
        <v>5616</v>
      </c>
      <c r="K1541" s="17" t="str">
        <f>HYPERLINK("http://ictvonline.org/taxonomyHistory.asp?taxnode_id=20171841","ICTVonline=20171841")</f>
        <v>ICTVonline=20171841</v>
      </c>
      <c r="L1541" s="3">
        <v>1540</v>
      </c>
    </row>
    <row r="1542" spans="1:12" x14ac:dyDescent="0.15">
      <c r="A1542" s="1" t="s">
        <v>1452</v>
      </c>
      <c r="B1542" s="1" t="s">
        <v>1453</v>
      </c>
      <c r="D1542" s="1" t="s">
        <v>5620</v>
      </c>
      <c r="E1542" s="1" t="s">
        <v>3750</v>
      </c>
      <c r="F1542" s="3">
        <v>0</v>
      </c>
      <c r="G1542" s="8" t="s">
        <v>2773</v>
      </c>
      <c r="H1542" s="8" t="s">
        <v>5161</v>
      </c>
      <c r="I1542" s="3">
        <v>31</v>
      </c>
      <c r="J1542" s="3" t="s">
        <v>5616</v>
      </c>
      <c r="K1542" s="17" t="str">
        <f>HYPERLINK("http://ictvonline.org/taxonomyHistory.asp?taxnode_id=20171842","ICTVonline=20171842")</f>
        <v>ICTVonline=20171842</v>
      </c>
      <c r="L1542" s="3">
        <v>1541</v>
      </c>
    </row>
    <row r="1543" spans="1:12" x14ac:dyDescent="0.15">
      <c r="A1543" s="1" t="s">
        <v>1452</v>
      </c>
      <c r="B1543" s="1" t="s">
        <v>1453</v>
      </c>
      <c r="D1543" s="1" t="s">
        <v>5620</v>
      </c>
      <c r="E1543" s="1" t="s">
        <v>3751</v>
      </c>
      <c r="F1543" s="3">
        <v>0</v>
      </c>
      <c r="G1543" s="8" t="s">
        <v>2773</v>
      </c>
      <c r="H1543" s="8" t="s">
        <v>5161</v>
      </c>
      <c r="I1543" s="3">
        <v>31</v>
      </c>
      <c r="J1543" s="3" t="s">
        <v>5616</v>
      </c>
      <c r="K1543" s="17" t="str">
        <f>HYPERLINK("http://ictvonline.org/taxonomyHistory.asp?taxnode_id=20171843","ICTVonline=20171843")</f>
        <v>ICTVonline=20171843</v>
      </c>
      <c r="L1543" s="3">
        <v>1542</v>
      </c>
    </row>
    <row r="1544" spans="1:12" x14ac:dyDescent="0.15">
      <c r="A1544" s="1" t="s">
        <v>1452</v>
      </c>
      <c r="B1544" s="1" t="s">
        <v>1453</v>
      </c>
      <c r="D1544" s="1" t="s">
        <v>5620</v>
      </c>
      <c r="E1544" s="1" t="s">
        <v>3754</v>
      </c>
      <c r="F1544" s="3">
        <v>0</v>
      </c>
      <c r="G1544" s="8" t="s">
        <v>2773</v>
      </c>
      <c r="H1544" s="8" t="s">
        <v>5161</v>
      </c>
      <c r="I1544" s="3">
        <v>31</v>
      </c>
      <c r="J1544" s="3" t="s">
        <v>5616</v>
      </c>
      <c r="K1544" s="17" t="str">
        <f>HYPERLINK("http://ictvonline.org/taxonomyHistory.asp?taxnode_id=20171844","ICTVonline=20171844")</f>
        <v>ICTVonline=20171844</v>
      </c>
      <c r="L1544" s="3">
        <v>1543</v>
      </c>
    </row>
    <row r="1545" spans="1:12" x14ac:dyDescent="0.15">
      <c r="A1545" s="1" t="s">
        <v>1452</v>
      </c>
      <c r="B1545" s="1" t="s">
        <v>1453</v>
      </c>
      <c r="D1545" s="1" t="s">
        <v>5620</v>
      </c>
      <c r="E1545" s="1" t="s">
        <v>1392</v>
      </c>
      <c r="F1545" s="3">
        <v>1</v>
      </c>
      <c r="G1545" s="8" t="s">
        <v>2773</v>
      </c>
      <c r="H1545" s="8" t="s">
        <v>5161</v>
      </c>
      <c r="I1545" s="3">
        <v>31</v>
      </c>
      <c r="J1545" s="3" t="s">
        <v>5616</v>
      </c>
      <c r="K1545" s="17" t="str">
        <f>HYPERLINK("http://ictvonline.org/taxonomyHistory.asp?taxnode_id=20171845","ICTVonline=20171845")</f>
        <v>ICTVonline=20171845</v>
      </c>
      <c r="L1545" s="3">
        <v>1544</v>
      </c>
    </row>
    <row r="1546" spans="1:12" x14ac:dyDescent="0.15">
      <c r="A1546" s="1" t="s">
        <v>1452</v>
      </c>
      <c r="B1546" s="1" t="s">
        <v>1393</v>
      </c>
      <c r="C1546" s="1" t="s">
        <v>1858</v>
      </c>
      <c r="D1546" s="1" t="s">
        <v>1859</v>
      </c>
      <c r="E1546" s="1" t="s">
        <v>1860</v>
      </c>
      <c r="F1546" s="3">
        <v>1</v>
      </c>
      <c r="G1546" s="8" t="s">
        <v>2773</v>
      </c>
      <c r="H1546" s="8" t="s">
        <v>5163</v>
      </c>
      <c r="I1546" s="3">
        <v>25</v>
      </c>
      <c r="J1546" s="3" t="s">
        <v>5622</v>
      </c>
      <c r="K1546" s="17" t="str">
        <f>HYPERLINK("http://ictvonline.org/taxonomyHistory.asp?taxnode_id=20171849","ICTVonline=20171849")</f>
        <v>ICTVonline=20171849</v>
      </c>
      <c r="L1546" s="3">
        <v>1545</v>
      </c>
    </row>
    <row r="1547" spans="1:12" x14ac:dyDescent="0.15">
      <c r="A1547" s="1" t="s">
        <v>1452</v>
      </c>
      <c r="B1547" s="1" t="s">
        <v>1393</v>
      </c>
      <c r="C1547" s="1" t="s">
        <v>1858</v>
      </c>
      <c r="D1547" s="1" t="s">
        <v>1859</v>
      </c>
      <c r="E1547" s="1" t="s">
        <v>3756</v>
      </c>
      <c r="F1547" s="3">
        <v>0</v>
      </c>
      <c r="G1547" s="8" t="s">
        <v>2773</v>
      </c>
      <c r="H1547" s="8" t="s">
        <v>5159</v>
      </c>
      <c r="I1547" s="3">
        <v>30</v>
      </c>
      <c r="J1547" s="3" t="s">
        <v>5623</v>
      </c>
      <c r="K1547" s="17" t="str">
        <f>HYPERLINK("http://ictvonline.org/taxonomyHistory.asp?taxnode_id=20171850","ICTVonline=20171850")</f>
        <v>ICTVonline=20171850</v>
      </c>
      <c r="L1547" s="3">
        <v>1546</v>
      </c>
    </row>
    <row r="1548" spans="1:12" x14ac:dyDescent="0.15">
      <c r="A1548" s="1" t="s">
        <v>1452</v>
      </c>
      <c r="B1548" s="1" t="s">
        <v>1393</v>
      </c>
      <c r="C1548" s="1" t="s">
        <v>1858</v>
      </c>
      <c r="D1548" s="1" t="s">
        <v>1859</v>
      </c>
      <c r="E1548" s="1" t="s">
        <v>3757</v>
      </c>
      <c r="F1548" s="3">
        <v>0</v>
      </c>
      <c r="G1548" s="8" t="s">
        <v>2773</v>
      </c>
      <c r="H1548" s="8" t="s">
        <v>5159</v>
      </c>
      <c r="I1548" s="3">
        <v>30</v>
      </c>
      <c r="J1548" s="3" t="s">
        <v>5623</v>
      </c>
      <c r="K1548" s="17" t="str">
        <f>HYPERLINK("http://ictvonline.org/taxonomyHistory.asp?taxnode_id=20171851","ICTVonline=20171851")</f>
        <v>ICTVonline=20171851</v>
      </c>
      <c r="L1548" s="3">
        <v>1547</v>
      </c>
    </row>
    <row r="1549" spans="1:12" x14ac:dyDescent="0.15">
      <c r="A1549" s="1" t="s">
        <v>1452</v>
      </c>
      <c r="B1549" s="1" t="s">
        <v>1393</v>
      </c>
      <c r="C1549" s="1" t="s">
        <v>1858</v>
      </c>
      <c r="D1549" s="1" t="s">
        <v>1859</v>
      </c>
      <c r="E1549" s="1" t="s">
        <v>1394</v>
      </c>
      <c r="F1549" s="3">
        <v>0</v>
      </c>
      <c r="G1549" s="8" t="s">
        <v>2773</v>
      </c>
      <c r="H1549" s="8" t="s">
        <v>5161</v>
      </c>
      <c r="I1549" s="3">
        <v>25</v>
      </c>
      <c r="J1549" s="3" t="s">
        <v>5622</v>
      </c>
      <c r="K1549" s="17" t="str">
        <f>HYPERLINK("http://ictvonline.org/taxonomyHistory.asp?taxnode_id=20171852","ICTVonline=20171852")</f>
        <v>ICTVonline=20171852</v>
      </c>
      <c r="L1549" s="3">
        <v>1548</v>
      </c>
    </row>
    <row r="1550" spans="1:12" x14ac:dyDescent="0.15">
      <c r="A1550" s="1" t="s">
        <v>1452</v>
      </c>
      <c r="B1550" s="1" t="s">
        <v>1393</v>
      </c>
      <c r="C1550" s="1" t="s">
        <v>1858</v>
      </c>
      <c r="D1550" s="1" t="s">
        <v>1859</v>
      </c>
      <c r="E1550" s="1" t="s">
        <v>1072</v>
      </c>
      <c r="F1550" s="3">
        <v>0</v>
      </c>
      <c r="G1550" s="8" t="s">
        <v>2773</v>
      </c>
      <c r="H1550" s="8" t="s">
        <v>5161</v>
      </c>
      <c r="I1550" s="3">
        <v>25</v>
      </c>
      <c r="J1550" s="3" t="s">
        <v>5622</v>
      </c>
      <c r="K1550" s="17" t="str">
        <f>HYPERLINK("http://ictvonline.org/taxonomyHistory.asp?taxnode_id=20171853","ICTVonline=20171853")</f>
        <v>ICTVonline=20171853</v>
      </c>
      <c r="L1550" s="3">
        <v>1549</v>
      </c>
    </row>
    <row r="1551" spans="1:12" x14ac:dyDescent="0.15">
      <c r="A1551" s="1" t="s">
        <v>1452</v>
      </c>
      <c r="B1551" s="1" t="s">
        <v>1393</v>
      </c>
      <c r="C1551" s="1" t="s">
        <v>1858</v>
      </c>
      <c r="D1551" s="1" t="s">
        <v>1859</v>
      </c>
      <c r="E1551" s="1" t="s">
        <v>568</v>
      </c>
      <c r="F1551" s="3">
        <v>0</v>
      </c>
      <c r="G1551" s="8" t="s">
        <v>2773</v>
      </c>
      <c r="H1551" s="8" t="s">
        <v>5159</v>
      </c>
      <c r="I1551" s="3">
        <v>25</v>
      </c>
      <c r="J1551" s="3" t="s">
        <v>5622</v>
      </c>
      <c r="K1551" s="17" t="str">
        <f>HYPERLINK("http://ictvonline.org/taxonomyHistory.asp?taxnode_id=20171854","ICTVonline=20171854")</f>
        <v>ICTVonline=20171854</v>
      </c>
      <c r="L1551" s="3">
        <v>1550</v>
      </c>
    </row>
    <row r="1552" spans="1:12" x14ac:dyDescent="0.15">
      <c r="A1552" s="1" t="s">
        <v>1452</v>
      </c>
      <c r="B1552" s="1" t="s">
        <v>1393</v>
      </c>
      <c r="C1552" s="1" t="s">
        <v>1858</v>
      </c>
      <c r="D1552" s="1" t="s">
        <v>1859</v>
      </c>
      <c r="E1552" s="1" t="s">
        <v>569</v>
      </c>
      <c r="F1552" s="3">
        <v>0</v>
      </c>
      <c r="G1552" s="8" t="s">
        <v>2773</v>
      </c>
      <c r="H1552" s="8" t="s">
        <v>5159</v>
      </c>
      <c r="I1552" s="3">
        <v>25</v>
      </c>
      <c r="J1552" s="3" t="s">
        <v>5622</v>
      </c>
      <c r="K1552" s="17" t="str">
        <f>HYPERLINK("http://ictvonline.org/taxonomyHistory.asp?taxnode_id=20171855","ICTVonline=20171855")</f>
        <v>ICTVonline=20171855</v>
      </c>
      <c r="L1552" s="3">
        <v>1551</v>
      </c>
    </row>
    <row r="1553" spans="1:12" x14ac:dyDescent="0.15">
      <c r="A1553" s="1" t="s">
        <v>1452</v>
      </c>
      <c r="B1553" s="1" t="s">
        <v>1393</v>
      </c>
      <c r="C1553" s="1" t="s">
        <v>1858</v>
      </c>
      <c r="D1553" s="1" t="s">
        <v>1859</v>
      </c>
      <c r="E1553" s="1" t="s">
        <v>3758</v>
      </c>
      <c r="F1553" s="3">
        <v>0</v>
      </c>
      <c r="G1553" s="8" t="s">
        <v>2773</v>
      </c>
      <c r="H1553" s="8" t="s">
        <v>5159</v>
      </c>
      <c r="I1553" s="3">
        <v>30</v>
      </c>
      <c r="J1553" s="3" t="s">
        <v>5623</v>
      </c>
      <c r="K1553" s="17" t="str">
        <f>HYPERLINK("http://ictvonline.org/taxonomyHistory.asp?taxnode_id=20171856","ICTVonline=20171856")</f>
        <v>ICTVonline=20171856</v>
      </c>
      <c r="L1553" s="3">
        <v>1552</v>
      </c>
    </row>
    <row r="1554" spans="1:12" x14ac:dyDescent="0.15">
      <c r="A1554" s="1" t="s">
        <v>1452</v>
      </c>
      <c r="B1554" s="1" t="s">
        <v>1393</v>
      </c>
      <c r="C1554" s="1" t="s">
        <v>1858</v>
      </c>
      <c r="D1554" s="1" t="s">
        <v>1859</v>
      </c>
      <c r="E1554" s="1" t="s">
        <v>1073</v>
      </c>
      <c r="F1554" s="3">
        <v>0</v>
      </c>
      <c r="G1554" s="8" t="s">
        <v>2773</v>
      </c>
      <c r="H1554" s="8" t="s">
        <v>5161</v>
      </c>
      <c r="I1554" s="3">
        <v>25</v>
      </c>
      <c r="J1554" s="3" t="s">
        <v>5622</v>
      </c>
      <c r="K1554" s="17" t="str">
        <f>HYPERLINK("http://ictvonline.org/taxonomyHistory.asp?taxnode_id=20171857","ICTVonline=20171857")</f>
        <v>ICTVonline=20171857</v>
      </c>
      <c r="L1554" s="3">
        <v>1553</v>
      </c>
    </row>
    <row r="1555" spans="1:12" x14ac:dyDescent="0.15">
      <c r="A1555" s="1" t="s">
        <v>1452</v>
      </c>
      <c r="B1555" s="1" t="s">
        <v>1393</v>
      </c>
      <c r="C1555" s="1" t="s">
        <v>1858</v>
      </c>
      <c r="D1555" s="1" t="s">
        <v>1859</v>
      </c>
      <c r="E1555" s="1" t="s">
        <v>570</v>
      </c>
      <c r="F1555" s="3">
        <v>0</v>
      </c>
      <c r="G1555" s="8" t="s">
        <v>2773</v>
      </c>
      <c r="H1555" s="8" t="s">
        <v>5159</v>
      </c>
      <c r="I1555" s="3">
        <v>25</v>
      </c>
      <c r="J1555" s="3" t="s">
        <v>5622</v>
      </c>
      <c r="K1555" s="17" t="str">
        <f>HYPERLINK("http://ictvonline.org/taxonomyHistory.asp?taxnode_id=20171858","ICTVonline=20171858")</f>
        <v>ICTVonline=20171858</v>
      </c>
      <c r="L1555" s="3">
        <v>1554</v>
      </c>
    </row>
    <row r="1556" spans="1:12" x14ac:dyDescent="0.15">
      <c r="A1556" s="1" t="s">
        <v>1452</v>
      </c>
      <c r="B1556" s="1" t="s">
        <v>1393</v>
      </c>
      <c r="C1556" s="1" t="s">
        <v>1858</v>
      </c>
      <c r="D1556" s="1" t="s">
        <v>1859</v>
      </c>
      <c r="E1556" s="1" t="s">
        <v>571</v>
      </c>
      <c r="F1556" s="3">
        <v>0</v>
      </c>
      <c r="G1556" s="8" t="s">
        <v>2773</v>
      </c>
      <c r="H1556" s="8" t="s">
        <v>5159</v>
      </c>
      <c r="I1556" s="3">
        <v>25</v>
      </c>
      <c r="J1556" s="3" t="s">
        <v>5622</v>
      </c>
      <c r="K1556" s="17" t="str">
        <f>HYPERLINK("http://ictvonline.org/taxonomyHistory.asp?taxnode_id=20171859","ICTVonline=20171859")</f>
        <v>ICTVonline=20171859</v>
      </c>
      <c r="L1556" s="3">
        <v>1555</v>
      </c>
    </row>
    <row r="1557" spans="1:12" x14ac:dyDescent="0.15">
      <c r="A1557" s="1" t="s">
        <v>1452</v>
      </c>
      <c r="B1557" s="1" t="s">
        <v>1393</v>
      </c>
      <c r="C1557" s="1" t="s">
        <v>1858</v>
      </c>
      <c r="D1557" s="1" t="s">
        <v>463</v>
      </c>
      <c r="E1557" s="1" t="s">
        <v>465</v>
      </c>
      <c r="F1557" s="3">
        <v>0</v>
      </c>
      <c r="G1557" s="8" t="s">
        <v>2773</v>
      </c>
      <c r="H1557" s="8" t="s">
        <v>5161</v>
      </c>
      <c r="I1557" s="3">
        <v>25</v>
      </c>
      <c r="J1557" s="3" t="s">
        <v>5622</v>
      </c>
      <c r="K1557" s="17" t="str">
        <f>HYPERLINK("http://ictvonline.org/taxonomyHistory.asp?taxnode_id=20171861","ICTVonline=20171861")</f>
        <v>ICTVonline=20171861</v>
      </c>
      <c r="L1557" s="3">
        <v>1556</v>
      </c>
    </row>
    <row r="1558" spans="1:12" x14ac:dyDescent="0.15">
      <c r="A1558" s="1" t="s">
        <v>1452</v>
      </c>
      <c r="B1558" s="1" t="s">
        <v>1393</v>
      </c>
      <c r="C1558" s="1" t="s">
        <v>1858</v>
      </c>
      <c r="D1558" s="1" t="s">
        <v>463</v>
      </c>
      <c r="E1558" s="1" t="s">
        <v>3759</v>
      </c>
      <c r="F1558" s="3">
        <v>0</v>
      </c>
      <c r="G1558" s="8" t="s">
        <v>2773</v>
      </c>
      <c r="H1558" s="8" t="s">
        <v>5159</v>
      </c>
      <c r="I1558" s="3">
        <v>30</v>
      </c>
      <c r="J1558" s="3" t="s">
        <v>5623</v>
      </c>
      <c r="K1558" s="17" t="str">
        <f>HYPERLINK("http://ictvonline.org/taxonomyHistory.asp?taxnode_id=20171862","ICTVonline=20171862")</f>
        <v>ICTVonline=20171862</v>
      </c>
      <c r="L1558" s="3">
        <v>1557</v>
      </c>
    </row>
    <row r="1559" spans="1:12" x14ac:dyDescent="0.15">
      <c r="A1559" s="1" t="s">
        <v>1452</v>
      </c>
      <c r="B1559" s="1" t="s">
        <v>1393</v>
      </c>
      <c r="C1559" s="1" t="s">
        <v>1858</v>
      </c>
      <c r="D1559" s="1" t="s">
        <v>463</v>
      </c>
      <c r="E1559" s="1" t="s">
        <v>1407</v>
      </c>
      <c r="F1559" s="3">
        <v>0</v>
      </c>
      <c r="G1559" s="8" t="s">
        <v>2773</v>
      </c>
      <c r="H1559" s="8" t="s">
        <v>5161</v>
      </c>
      <c r="I1559" s="3">
        <v>25</v>
      </c>
      <c r="J1559" s="3" t="s">
        <v>5622</v>
      </c>
      <c r="K1559" s="17" t="str">
        <f>HYPERLINK("http://ictvonline.org/taxonomyHistory.asp?taxnode_id=20171863","ICTVonline=20171863")</f>
        <v>ICTVonline=20171863</v>
      </c>
      <c r="L1559" s="3">
        <v>1558</v>
      </c>
    </row>
    <row r="1560" spans="1:12" x14ac:dyDescent="0.15">
      <c r="A1560" s="1" t="s">
        <v>1452</v>
      </c>
      <c r="B1560" s="1" t="s">
        <v>1393</v>
      </c>
      <c r="C1560" s="1" t="s">
        <v>1858</v>
      </c>
      <c r="D1560" s="1" t="s">
        <v>463</v>
      </c>
      <c r="E1560" s="1" t="s">
        <v>3760</v>
      </c>
      <c r="F1560" s="3">
        <v>0</v>
      </c>
      <c r="G1560" s="8" t="s">
        <v>2773</v>
      </c>
      <c r="H1560" s="8" t="s">
        <v>5159</v>
      </c>
      <c r="I1560" s="3">
        <v>30</v>
      </c>
      <c r="J1560" s="3" t="s">
        <v>5623</v>
      </c>
      <c r="K1560" s="17" t="str">
        <f>HYPERLINK("http://ictvonline.org/taxonomyHistory.asp?taxnode_id=20171864","ICTVonline=20171864")</f>
        <v>ICTVonline=20171864</v>
      </c>
      <c r="L1560" s="3">
        <v>1559</v>
      </c>
    </row>
    <row r="1561" spans="1:12" x14ac:dyDescent="0.15">
      <c r="A1561" s="1" t="s">
        <v>1452</v>
      </c>
      <c r="B1561" s="1" t="s">
        <v>1393</v>
      </c>
      <c r="C1561" s="1" t="s">
        <v>1858</v>
      </c>
      <c r="D1561" s="1" t="s">
        <v>463</v>
      </c>
      <c r="E1561" s="1" t="s">
        <v>464</v>
      </c>
      <c r="F1561" s="3">
        <v>1</v>
      </c>
      <c r="G1561" s="8" t="s">
        <v>2773</v>
      </c>
      <c r="H1561" s="8" t="s">
        <v>5167</v>
      </c>
      <c r="I1561" s="3">
        <v>25</v>
      </c>
      <c r="J1561" s="3" t="s">
        <v>5622</v>
      </c>
      <c r="K1561" s="17" t="str">
        <f>HYPERLINK("http://ictvonline.org/taxonomyHistory.asp?taxnode_id=20171865","ICTVonline=20171865")</f>
        <v>ICTVonline=20171865</v>
      </c>
      <c r="L1561" s="3">
        <v>1560</v>
      </c>
    </row>
    <row r="1562" spans="1:12" x14ac:dyDescent="0.15">
      <c r="A1562" s="1" t="s">
        <v>1452</v>
      </c>
      <c r="B1562" s="1" t="s">
        <v>1393</v>
      </c>
      <c r="C1562" s="1" t="s">
        <v>1858</v>
      </c>
      <c r="D1562" s="1" t="s">
        <v>463</v>
      </c>
      <c r="E1562" s="1" t="s">
        <v>572</v>
      </c>
      <c r="F1562" s="3">
        <v>0</v>
      </c>
      <c r="G1562" s="8" t="s">
        <v>2773</v>
      </c>
      <c r="H1562" s="8" t="s">
        <v>5159</v>
      </c>
      <c r="I1562" s="3">
        <v>25</v>
      </c>
      <c r="J1562" s="3" t="s">
        <v>5622</v>
      </c>
      <c r="K1562" s="17" t="str">
        <f>HYPERLINK("http://ictvonline.org/taxonomyHistory.asp?taxnode_id=20171866","ICTVonline=20171866")</f>
        <v>ICTVonline=20171866</v>
      </c>
      <c r="L1562" s="3">
        <v>1561</v>
      </c>
    </row>
    <row r="1563" spans="1:12" x14ac:dyDescent="0.15">
      <c r="A1563" s="1" t="s">
        <v>1452</v>
      </c>
      <c r="B1563" s="1" t="s">
        <v>1393</v>
      </c>
      <c r="C1563" s="1" t="s">
        <v>1858</v>
      </c>
      <c r="D1563" s="1" t="s">
        <v>463</v>
      </c>
      <c r="E1563" s="1" t="s">
        <v>573</v>
      </c>
      <c r="F1563" s="3">
        <v>0</v>
      </c>
      <c r="G1563" s="8" t="s">
        <v>2773</v>
      </c>
      <c r="H1563" s="8" t="s">
        <v>5159</v>
      </c>
      <c r="I1563" s="3">
        <v>25</v>
      </c>
      <c r="J1563" s="3" t="s">
        <v>5622</v>
      </c>
      <c r="K1563" s="17" t="str">
        <f>HYPERLINK("http://ictvonline.org/taxonomyHistory.asp?taxnode_id=20171867","ICTVonline=20171867")</f>
        <v>ICTVonline=20171867</v>
      </c>
      <c r="L1563" s="3">
        <v>1562</v>
      </c>
    </row>
    <row r="1564" spans="1:12" x14ac:dyDescent="0.15">
      <c r="A1564" s="1" t="s">
        <v>1452</v>
      </c>
      <c r="B1564" s="1" t="s">
        <v>1393</v>
      </c>
      <c r="C1564" s="1" t="s">
        <v>1858</v>
      </c>
      <c r="D1564" s="1" t="s">
        <v>463</v>
      </c>
      <c r="E1564" s="1" t="s">
        <v>1377</v>
      </c>
      <c r="F1564" s="3">
        <v>0</v>
      </c>
      <c r="G1564" s="8" t="s">
        <v>2773</v>
      </c>
      <c r="H1564" s="8" t="s">
        <v>5160</v>
      </c>
      <c r="I1564" s="3">
        <v>25</v>
      </c>
      <c r="J1564" s="3" t="s">
        <v>5622</v>
      </c>
      <c r="K1564" s="17" t="str">
        <f>HYPERLINK("http://ictvonline.org/taxonomyHistory.asp?taxnode_id=20171868","ICTVonline=20171868")</f>
        <v>ICTVonline=20171868</v>
      </c>
      <c r="L1564" s="3">
        <v>1563</v>
      </c>
    </row>
    <row r="1565" spans="1:12" x14ac:dyDescent="0.15">
      <c r="A1565" s="1" t="s">
        <v>1452</v>
      </c>
      <c r="B1565" s="1" t="s">
        <v>1393</v>
      </c>
      <c r="C1565" s="1" t="s">
        <v>1858</v>
      </c>
      <c r="D1565" s="1" t="s">
        <v>463</v>
      </c>
      <c r="E1565" s="1" t="s">
        <v>574</v>
      </c>
      <c r="F1565" s="3">
        <v>0</v>
      </c>
      <c r="G1565" s="8" t="s">
        <v>2773</v>
      </c>
      <c r="H1565" s="8" t="s">
        <v>5159</v>
      </c>
      <c r="I1565" s="3">
        <v>25</v>
      </c>
      <c r="J1565" s="3" t="s">
        <v>5622</v>
      </c>
      <c r="K1565" s="17" t="str">
        <f>HYPERLINK("http://ictvonline.org/taxonomyHistory.asp?taxnode_id=20171869","ICTVonline=20171869")</f>
        <v>ICTVonline=20171869</v>
      </c>
      <c r="L1565" s="3">
        <v>1564</v>
      </c>
    </row>
    <row r="1566" spans="1:12" x14ac:dyDescent="0.15">
      <c r="A1566" s="1" t="s">
        <v>1452</v>
      </c>
      <c r="B1566" s="1" t="s">
        <v>1393</v>
      </c>
      <c r="C1566" s="1" t="s">
        <v>1858</v>
      </c>
      <c r="D1566" s="1" t="s">
        <v>0</v>
      </c>
      <c r="E1566" s="1" t="s">
        <v>1</v>
      </c>
      <c r="F1566" s="3">
        <v>1</v>
      </c>
      <c r="G1566" s="8" t="s">
        <v>2773</v>
      </c>
      <c r="H1566" s="8" t="s">
        <v>5164</v>
      </c>
      <c r="I1566" s="3">
        <v>26</v>
      </c>
      <c r="J1566" s="3" t="s">
        <v>5624</v>
      </c>
      <c r="K1566" s="17" t="str">
        <f>HYPERLINK("http://ictvonline.org/taxonomyHistory.asp?taxnode_id=20171871","ICTVonline=20171871")</f>
        <v>ICTVonline=20171871</v>
      </c>
      <c r="L1566" s="3">
        <v>1565</v>
      </c>
    </row>
    <row r="1567" spans="1:12" x14ac:dyDescent="0.15">
      <c r="A1567" s="1" t="s">
        <v>1452</v>
      </c>
      <c r="B1567" s="1" t="s">
        <v>1393</v>
      </c>
      <c r="C1567" s="1" t="s">
        <v>1858</v>
      </c>
      <c r="D1567" s="1" t="s">
        <v>0</v>
      </c>
      <c r="E1567" s="1" t="s">
        <v>3761</v>
      </c>
      <c r="F1567" s="3">
        <v>0</v>
      </c>
      <c r="G1567" s="8" t="s">
        <v>2773</v>
      </c>
      <c r="H1567" s="8" t="s">
        <v>5159</v>
      </c>
      <c r="I1567" s="3">
        <v>30</v>
      </c>
      <c r="J1567" s="3" t="s">
        <v>5623</v>
      </c>
      <c r="K1567" s="17" t="str">
        <f>HYPERLINK("http://ictvonline.org/taxonomyHistory.asp?taxnode_id=20171872","ICTVonline=20171872")</f>
        <v>ICTVonline=20171872</v>
      </c>
      <c r="L1567" s="3">
        <v>1566</v>
      </c>
    </row>
    <row r="1568" spans="1:12" x14ac:dyDescent="0.15">
      <c r="A1568" s="1" t="s">
        <v>1452</v>
      </c>
      <c r="B1568" s="1" t="s">
        <v>1393</v>
      </c>
      <c r="C1568" s="1" t="s">
        <v>1858</v>
      </c>
      <c r="D1568" s="1" t="s">
        <v>0</v>
      </c>
      <c r="E1568" s="1" t="s">
        <v>3762</v>
      </c>
      <c r="F1568" s="3">
        <v>0</v>
      </c>
      <c r="G1568" s="8" t="s">
        <v>2773</v>
      </c>
      <c r="H1568" s="8" t="s">
        <v>5159</v>
      </c>
      <c r="I1568" s="3">
        <v>30</v>
      </c>
      <c r="J1568" s="3" t="s">
        <v>5623</v>
      </c>
      <c r="K1568" s="17" t="str">
        <f>HYPERLINK("http://ictvonline.org/taxonomyHistory.asp?taxnode_id=20171873","ICTVonline=20171873")</f>
        <v>ICTVonline=20171873</v>
      </c>
      <c r="L1568" s="3">
        <v>1567</v>
      </c>
    </row>
    <row r="1569" spans="1:12" x14ac:dyDescent="0.15">
      <c r="A1569" s="1" t="s">
        <v>1452</v>
      </c>
      <c r="B1569" s="1" t="s">
        <v>1393</v>
      </c>
      <c r="C1569" s="1" t="s">
        <v>1858</v>
      </c>
      <c r="D1569" s="1" t="s">
        <v>0</v>
      </c>
      <c r="E1569" s="1" t="s">
        <v>563</v>
      </c>
      <c r="F1569" s="3">
        <v>0</v>
      </c>
      <c r="G1569" s="8" t="s">
        <v>2773</v>
      </c>
      <c r="H1569" s="8" t="s">
        <v>5159</v>
      </c>
      <c r="I1569" s="3">
        <v>26</v>
      </c>
      <c r="J1569" s="3" t="s">
        <v>5624</v>
      </c>
      <c r="K1569" s="17" t="str">
        <f>HYPERLINK("http://ictvonline.org/taxonomyHistory.asp?taxnode_id=20171874","ICTVonline=20171874")</f>
        <v>ICTVonline=20171874</v>
      </c>
      <c r="L1569" s="3">
        <v>1568</v>
      </c>
    </row>
    <row r="1570" spans="1:12" x14ac:dyDescent="0.15">
      <c r="A1570" s="1" t="s">
        <v>1452</v>
      </c>
      <c r="B1570" s="1" t="s">
        <v>1393</v>
      </c>
      <c r="C1570" s="1" t="s">
        <v>1858</v>
      </c>
      <c r="D1570" s="1" t="s">
        <v>0</v>
      </c>
      <c r="E1570" s="1" t="s">
        <v>3763</v>
      </c>
      <c r="F1570" s="3">
        <v>0</v>
      </c>
      <c r="G1570" s="8" t="s">
        <v>2773</v>
      </c>
      <c r="H1570" s="8" t="s">
        <v>5159</v>
      </c>
      <c r="I1570" s="3">
        <v>30</v>
      </c>
      <c r="J1570" s="3" t="s">
        <v>5623</v>
      </c>
      <c r="K1570" s="17" t="str">
        <f>HYPERLINK("http://ictvonline.org/taxonomyHistory.asp?taxnode_id=20171875","ICTVonline=20171875")</f>
        <v>ICTVonline=20171875</v>
      </c>
      <c r="L1570" s="3">
        <v>1569</v>
      </c>
    </row>
    <row r="1571" spans="1:12" x14ac:dyDescent="0.15">
      <c r="A1571" s="1" t="s">
        <v>1452</v>
      </c>
      <c r="B1571" s="1" t="s">
        <v>1393</v>
      </c>
      <c r="C1571" s="1" t="s">
        <v>1858</v>
      </c>
      <c r="D1571" s="1" t="s">
        <v>0</v>
      </c>
      <c r="E1571" s="1" t="s">
        <v>2</v>
      </c>
      <c r="F1571" s="3">
        <v>0</v>
      </c>
      <c r="G1571" s="8" t="s">
        <v>2773</v>
      </c>
      <c r="H1571" s="8" t="s">
        <v>5159</v>
      </c>
      <c r="I1571" s="3">
        <v>26</v>
      </c>
      <c r="J1571" s="3" t="s">
        <v>5624</v>
      </c>
      <c r="K1571" s="17" t="str">
        <f>HYPERLINK("http://ictvonline.org/taxonomyHistory.asp?taxnode_id=20171876","ICTVonline=20171876")</f>
        <v>ICTVonline=20171876</v>
      </c>
      <c r="L1571" s="3">
        <v>1570</v>
      </c>
    </row>
    <row r="1572" spans="1:12" x14ac:dyDescent="0.15">
      <c r="A1572" s="1" t="s">
        <v>1452</v>
      </c>
      <c r="B1572" s="1" t="s">
        <v>1393</v>
      </c>
      <c r="C1572" s="1" t="s">
        <v>1858</v>
      </c>
      <c r="D1572" s="1" t="s">
        <v>0</v>
      </c>
      <c r="E1572" s="1" t="s">
        <v>3764</v>
      </c>
      <c r="F1572" s="3">
        <v>0</v>
      </c>
      <c r="G1572" s="8" t="s">
        <v>2773</v>
      </c>
      <c r="H1572" s="8" t="s">
        <v>5159</v>
      </c>
      <c r="I1572" s="3">
        <v>30</v>
      </c>
      <c r="J1572" s="3" t="s">
        <v>5623</v>
      </c>
      <c r="K1572" s="17" t="str">
        <f>HYPERLINK("http://ictvonline.org/taxonomyHistory.asp?taxnode_id=20171877","ICTVonline=20171877")</f>
        <v>ICTVonline=20171877</v>
      </c>
      <c r="L1572" s="3">
        <v>1571</v>
      </c>
    </row>
    <row r="1573" spans="1:12" x14ac:dyDescent="0.15">
      <c r="A1573" s="1" t="s">
        <v>1452</v>
      </c>
      <c r="B1573" s="1" t="s">
        <v>1393</v>
      </c>
      <c r="C1573" s="1" t="s">
        <v>1858</v>
      </c>
      <c r="D1573" s="1" t="s">
        <v>0</v>
      </c>
      <c r="E1573" s="1" t="s">
        <v>3765</v>
      </c>
      <c r="F1573" s="3">
        <v>0</v>
      </c>
      <c r="G1573" s="8" t="s">
        <v>2773</v>
      </c>
      <c r="H1573" s="8" t="s">
        <v>5159</v>
      </c>
      <c r="I1573" s="3">
        <v>30</v>
      </c>
      <c r="J1573" s="3" t="s">
        <v>5623</v>
      </c>
      <c r="K1573" s="17" t="str">
        <f>HYPERLINK("http://ictvonline.org/taxonomyHistory.asp?taxnode_id=20171878","ICTVonline=20171878")</f>
        <v>ICTVonline=20171878</v>
      </c>
      <c r="L1573" s="3">
        <v>1572</v>
      </c>
    </row>
    <row r="1574" spans="1:12" x14ac:dyDescent="0.15">
      <c r="A1574" s="1" t="s">
        <v>1452</v>
      </c>
      <c r="B1574" s="1" t="s">
        <v>1393</v>
      </c>
      <c r="C1574" s="1" t="s">
        <v>1858</v>
      </c>
      <c r="D1574" s="1" t="s">
        <v>432</v>
      </c>
      <c r="E1574" s="1" t="s">
        <v>433</v>
      </c>
      <c r="F1574" s="3">
        <v>1</v>
      </c>
      <c r="G1574" s="8" t="s">
        <v>2773</v>
      </c>
      <c r="H1574" s="8" t="s">
        <v>5167</v>
      </c>
      <c r="I1574" s="3">
        <v>25</v>
      </c>
      <c r="J1574" s="3" t="s">
        <v>5622</v>
      </c>
      <c r="K1574" s="17" t="str">
        <f>HYPERLINK("http://ictvonline.org/taxonomyHistory.asp?taxnode_id=20171880","ICTVonline=20171880")</f>
        <v>ICTVonline=20171880</v>
      </c>
      <c r="L1574" s="3">
        <v>1573</v>
      </c>
    </row>
    <row r="1575" spans="1:12" x14ac:dyDescent="0.15">
      <c r="A1575" s="1" t="s">
        <v>1452</v>
      </c>
      <c r="B1575" s="1" t="s">
        <v>1393</v>
      </c>
      <c r="C1575" s="1" t="s">
        <v>1858</v>
      </c>
      <c r="D1575" s="1" t="s">
        <v>432</v>
      </c>
      <c r="E1575" s="1" t="s">
        <v>434</v>
      </c>
      <c r="F1575" s="3">
        <v>0</v>
      </c>
      <c r="G1575" s="8" t="s">
        <v>2773</v>
      </c>
      <c r="H1575" s="8" t="s">
        <v>5159</v>
      </c>
      <c r="I1575" s="3">
        <v>25</v>
      </c>
      <c r="J1575" s="3" t="s">
        <v>5622</v>
      </c>
      <c r="K1575" s="17" t="str">
        <f>HYPERLINK("http://ictvonline.org/taxonomyHistory.asp?taxnode_id=20171881","ICTVonline=20171881")</f>
        <v>ICTVonline=20171881</v>
      </c>
      <c r="L1575" s="3">
        <v>1574</v>
      </c>
    </row>
    <row r="1576" spans="1:12" x14ac:dyDescent="0.15">
      <c r="A1576" s="1" t="s">
        <v>1452</v>
      </c>
      <c r="B1576" s="1" t="s">
        <v>1393</v>
      </c>
      <c r="C1576" s="1" t="s">
        <v>435</v>
      </c>
      <c r="D1576" s="1" t="s">
        <v>308</v>
      </c>
      <c r="E1576" s="1" t="s">
        <v>3766</v>
      </c>
      <c r="F1576" s="3">
        <v>0</v>
      </c>
      <c r="G1576" s="8" t="s">
        <v>2773</v>
      </c>
      <c r="H1576" s="8" t="s">
        <v>5159</v>
      </c>
      <c r="I1576" s="3">
        <v>30</v>
      </c>
      <c r="J1576" s="3" t="s">
        <v>5623</v>
      </c>
      <c r="K1576" s="17" t="str">
        <f>HYPERLINK("http://ictvonline.org/taxonomyHistory.asp?taxnode_id=20171884","ICTVonline=20171884")</f>
        <v>ICTVonline=20171884</v>
      </c>
      <c r="L1576" s="3">
        <v>1575</v>
      </c>
    </row>
    <row r="1577" spans="1:12" x14ac:dyDescent="0.15">
      <c r="A1577" s="1" t="s">
        <v>1452</v>
      </c>
      <c r="B1577" s="1" t="s">
        <v>1393</v>
      </c>
      <c r="C1577" s="1" t="s">
        <v>435</v>
      </c>
      <c r="D1577" s="1" t="s">
        <v>308</v>
      </c>
      <c r="E1577" s="1" t="s">
        <v>309</v>
      </c>
      <c r="F1577" s="3">
        <v>1</v>
      </c>
      <c r="G1577" s="8" t="s">
        <v>2773</v>
      </c>
      <c r="H1577" s="8" t="s">
        <v>5164</v>
      </c>
      <c r="I1577" s="3">
        <v>25</v>
      </c>
      <c r="J1577" s="3" t="s">
        <v>5622</v>
      </c>
      <c r="K1577" s="17" t="str">
        <f>HYPERLINK("http://ictvonline.org/taxonomyHistory.asp?taxnode_id=20171885","ICTVonline=20171885")</f>
        <v>ICTVonline=20171885</v>
      </c>
      <c r="L1577" s="3">
        <v>1576</v>
      </c>
    </row>
    <row r="1578" spans="1:12" x14ac:dyDescent="0.15">
      <c r="A1578" s="1" t="s">
        <v>1452</v>
      </c>
      <c r="B1578" s="1" t="s">
        <v>1393</v>
      </c>
      <c r="C1578" s="1" t="s">
        <v>435</v>
      </c>
      <c r="D1578" s="1" t="s">
        <v>1074</v>
      </c>
      <c r="E1578" s="1" t="s">
        <v>1075</v>
      </c>
      <c r="F1578" s="3">
        <v>0</v>
      </c>
      <c r="G1578" s="8" t="s">
        <v>2773</v>
      </c>
      <c r="H1578" s="8" t="s">
        <v>5161</v>
      </c>
      <c r="I1578" s="3">
        <v>25</v>
      </c>
      <c r="J1578" s="3" t="s">
        <v>5622</v>
      </c>
      <c r="K1578" s="17" t="str">
        <f>HYPERLINK("http://ictvonline.org/taxonomyHistory.asp?taxnode_id=20171887","ICTVonline=20171887")</f>
        <v>ICTVonline=20171887</v>
      </c>
      <c r="L1578" s="3">
        <v>1577</v>
      </c>
    </row>
    <row r="1579" spans="1:12" x14ac:dyDescent="0.15">
      <c r="A1579" s="1" t="s">
        <v>1452</v>
      </c>
      <c r="B1579" s="1" t="s">
        <v>1393</v>
      </c>
      <c r="C1579" s="1" t="s">
        <v>435</v>
      </c>
      <c r="D1579" s="1" t="s">
        <v>1074</v>
      </c>
      <c r="E1579" s="1" t="s">
        <v>686</v>
      </c>
      <c r="F1579" s="3">
        <v>1</v>
      </c>
      <c r="G1579" s="8" t="s">
        <v>2773</v>
      </c>
      <c r="H1579" s="8" t="s">
        <v>5161</v>
      </c>
      <c r="I1579" s="3">
        <v>25</v>
      </c>
      <c r="J1579" s="3" t="s">
        <v>5622</v>
      </c>
      <c r="K1579" s="17" t="str">
        <f>HYPERLINK("http://ictvonline.org/taxonomyHistory.asp?taxnode_id=20171888","ICTVonline=20171888")</f>
        <v>ICTVonline=20171888</v>
      </c>
      <c r="L1579" s="3">
        <v>1578</v>
      </c>
    </row>
    <row r="1580" spans="1:12" x14ac:dyDescent="0.15">
      <c r="A1580" s="1" t="s">
        <v>1452</v>
      </c>
      <c r="B1580" s="1" t="s">
        <v>1393</v>
      </c>
      <c r="C1580" s="1" t="s">
        <v>435</v>
      </c>
      <c r="D1580" s="1" t="s">
        <v>1074</v>
      </c>
      <c r="E1580" s="1" t="s">
        <v>1076</v>
      </c>
      <c r="F1580" s="3">
        <v>0</v>
      </c>
      <c r="G1580" s="8" t="s">
        <v>2773</v>
      </c>
      <c r="H1580" s="8" t="s">
        <v>5161</v>
      </c>
      <c r="I1580" s="3">
        <v>25</v>
      </c>
      <c r="J1580" s="3" t="s">
        <v>5622</v>
      </c>
      <c r="K1580" s="17" t="str">
        <f>HYPERLINK("http://ictvonline.org/taxonomyHistory.asp?taxnode_id=20171889","ICTVonline=20171889")</f>
        <v>ICTVonline=20171889</v>
      </c>
      <c r="L1580" s="3">
        <v>1579</v>
      </c>
    </row>
    <row r="1581" spans="1:12" x14ac:dyDescent="0.15">
      <c r="A1581" s="1" t="s">
        <v>1452</v>
      </c>
      <c r="B1581" s="1" t="s">
        <v>1393</v>
      </c>
      <c r="C1581" s="1" t="s">
        <v>435</v>
      </c>
      <c r="D1581" s="1" t="s">
        <v>1074</v>
      </c>
      <c r="E1581" s="1" t="s">
        <v>1077</v>
      </c>
      <c r="F1581" s="3">
        <v>0</v>
      </c>
      <c r="G1581" s="8" t="s">
        <v>2773</v>
      </c>
      <c r="H1581" s="8" t="s">
        <v>5161</v>
      </c>
      <c r="I1581" s="3">
        <v>25</v>
      </c>
      <c r="J1581" s="3" t="s">
        <v>5622</v>
      </c>
      <c r="K1581" s="17" t="str">
        <f>HYPERLINK("http://ictvonline.org/taxonomyHistory.asp?taxnode_id=20171890","ICTVonline=20171890")</f>
        <v>ICTVonline=20171890</v>
      </c>
      <c r="L1581" s="3">
        <v>1580</v>
      </c>
    </row>
    <row r="1582" spans="1:12" x14ac:dyDescent="0.15">
      <c r="A1582" s="1" t="s">
        <v>1452</v>
      </c>
      <c r="B1582" s="1" t="s">
        <v>1393</v>
      </c>
      <c r="C1582" s="1" t="s">
        <v>435</v>
      </c>
      <c r="D1582" s="1" t="s">
        <v>908</v>
      </c>
      <c r="E1582" s="1" t="s">
        <v>3767</v>
      </c>
      <c r="F1582" s="3">
        <v>0</v>
      </c>
      <c r="G1582" s="8" t="s">
        <v>2773</v>
      </c>
      <c r="H1582" s="8" t="s">
        <v>5159</v>
      </c>
      <c r="I1582" s="3">
        <v>30</v>
      </c>
      <c r="J1582" s="3" t="s">
        <v>5623</v>
      </c>
      <c r="K1582" s="17" t="str">
        <f>HYPERLINK("http://ictvonline.org/taxonomyHistory.asp?taxnode_id=20171892","ICTVonline=20171892")</f>
        <v>ICTVonline=20171892</v>
      </c>
      <c r="L1582" s="3">
        <v>1581</v>
      </c>
    </row>
    <row r="1583" spans="1:12" x14ac:dyDescent="0.15">
      <c r="A1583" s="1" t="s">
        <v>1452</v>
      </c>
      <c r="B1583" s="1" t="s">
        <v>1393</v>
      </c>
      <c r="C1583" s="1" t="s">
        <v>435</v>
      </c>
      <c r="D1583" s="1" t="s">
        <v>908</v>
      </c>
      <c r="E1583" s="1" t="s">
        <v>4808</v>
      </c>
      <c r="F1583" s="3">
        <v>0</v>
      </c>
      <c r="G1583" s="8" t="s">
        <v>2773</v>
      </c>
      <c r="H1583" s="8" t="s">
        <v>5159</v>
      </c>
      <c r="I1583" s="3">
        <v>31</v>
      </c>
      <c r="J1583" s="3" t="s">
        <v>5625</v>
      </c>
      <c r="K1583" s="17" t="str">
        <f>HYPERLINK("http://ictvonline.org/taxonomyHistory.asp?taxnode_id=20171893","ICTVonline=20171893")</f>
        <v>ICTVonline=20171893</v>
      </c>
      <c r="L1583" s="3">
        <v>1582</v>
      </c>
    </row>
    <row r="1584" spans="1:12" x14ac:dyDescent="0.15">
      <c r="A1584" s="1" t="s">
        <v>1452</v>
      </c>
      <c r="B1584" s="1" t="s">
        <v>1393</v>
      </c>
      <c r="C1584" s="1" t="s">
        <v>435</v>
      </c>
      <c r="D1584" s="1" t="s">
        <v>908</v>
      </c>
      <c r="E1584" s="1" t="s">
        <v>4809</v>
      </c>
      <c r="F1584" s="3">
        <v>0</v>
      </c>
      <c r="G1584" s="8" t="s">
        <v>2773</v>
      </c>
      <c r="H1584" s="8" t="s">
        <v>5159</v>
      </c>
      <c r="I1584" s="3">
        <v>31</v>
      </c>
      <c r="J1584" s="3" t="s">
        <v>5625</v>
      </c>
      <c r="K1584" s="17" t="str">
        <f>HYPERLINK("http://ictvonline.org/taxonomyHistory.asp?taxnode_id=20171894","ICTVonline=20171894")</f>
        <v>ICTVonline=20171894</v>
      </c>
      <c r="L1584" s="3">
        <v>1583</v>
      </c>
    </row>
    <row r="1585" spans="1:12" x14ac:dyDescent="0.15">
      <c r="A1585" s="1" t="s">
        <v>1452</v>
      </c>
      <c r="B1585" s="1" t="s">
        <v>2187</v>
      </c>
      <c r="D1585" s="1" t="s">
        <v>2188</v>
      </c>
      <c r="E1585" s="1" t="s">
        <v>2189</v>
      </c>
      <c r="F1585" s="3">
        <v>1</v>
      </c>
      <c r="G1585" s="8" t="s">
        <v>2773</v>
      </c>
      <c r="H1585" s="8" t="s">
        <v>5164</v>
      </c>
      <c r="I1585" s="3">
        <v>27</v>
      </c>
      <c r="J1585" s="3" t="s">
        <v>5626</v>
      </c>
      <c r="K1585" s="17" t="str">
        <f>HYPERLINK("http://ictvonline.org/taxonomyHistory.asp?taxnode_id=20171898","ICTVonline=20171898")</f>
        <v>ICTVonline=20171898</v>
      </c>
      <c r="L1585" s="3">
        <v>1584</v>
      </c>
    </row>
    <row r="1586" spans="1:12" x14ac:dyDescent="0.15">
      <c r="A1586" s="1" t="s">
        <v>1452</v>
      </c>
      <c r="B1586" s="1" t="s">
        <v>2187</v>
      </c>
      <c r="D1586" s="1" t="s">
        <v>2188</v>
      </c>
      <c r="E1586" s="1" t="s">
        <v>3768</v>
      </c>
      <c r="F1586" s="3">
        <v>0</v>
      </c>
      <c r="G1586" s="8" t="s">
        <v>2773</v>
      </c>
      <c r="H1586" s="8" t="s">
        <v>5159</v>
      </c>
      <c r="I1586" s="3">
        <v>30</v>
      </c>
      <c r="J1586" s="3" t="s">
        <v>5627</v>
      </c>
      <c r="K1586" s="17" t="str">
        <f>HYPERLINK("http://ictvonline.org/taxonomyHistory.asp?taxnode_id=20171899","ICTVonline=20171899")</f>
        <v>ICTVonline=20171899</v>
      </c>
      <c r="L1586" s="3">
        <v>1585</v>
      </c>
    </row>
    <row r="1587" spans="1:12" x14ac:dyDescent="0.15">
      <c r="A1587" s="1" t="s">
        <v>1452</v>
      </c>
      <c r="B1587" s="1" t="s">
        <v>2187</v>
      </c>
      <c r="D1587" s="1" t="s">
        <v>2188</v>
      </c>
      <c r="E1587" s="1" t="s">
        <v>3769</v>
      </c>
      <c r="F1587" s="3">
        <v>0</v>
      </c>
      <c r="G1587" s="8" t="s">
        <v>2773</v>
      </c>
      <c r="H1587" s="8" t="s">
        <v>5159</v>
      </c>
      <c r="I1587" s="3">
        <v>30</v>
      </c>
      <c r="J1587" s="3" t="s">
        <v>5627</v>
      </c>
      <c r="K1587" s="17" t="str">
        <f>HYPERLINK("http://ictvonline.org/taxonomyHistory.asp?taxnode_id=20171900","ICTVonline=20171900")</f>
        <v>ICTVonline=20171900</v>
      </c>
      <c r="L1587" s="3">
        <v>1586</v>
      </c>
    </row>
    <row r="1588" spans="1:12" x14ac:dyDescent="0.15">
      <c r="A1588" s="1" t="s">
        <v>1452</v>
      </c>
      <c r="B1588" s="1" t="s">
        <v>2187</v>
      </c>
      <c r="D1588" s="1" t="s">
        <v>2188</v>
      </c>
      <c r="E1588" s="1" t="s">
        <v>3770</v>
      </c>
      <c r="F1588" s="3">
        <v>0</v>
      </c>
      <c r="G1588" s="8" t="s">
        <v>2773</v>
      </c>
      <c r="H1588" s="8" t="s">
        <v>5159</v>
      </c>
      <c r="I1588" s="3">
        <v>30</v>
      </c>
      <c r="J1588" s="3" t="s">
        <v>5627</v>
      </c>
      <c r="K1588" s="17" t="str">
        <f>HYPERLINK("http://ictvonline.org/taxonomyHistory.asp?taxnode_id=20171901","ICTVonline=20171901")</f>
        <v>ICTVonline=20171901</v>
      </c>
      <c r="L1588" s="3">
        <v>1587</v>
      </c>
    </row>
    <row r="1589" spans="1:12" x14ac:dyDescent="0.15">
      <c r="A1589" s="1" t="s">
        <v>1452</v>
      </c>
      <c r="B1589" s="1" t="s">
        <v>2187</v>
      </c>
      <c r="D1589" s="1" t="s">
        <v>2188</v>
      </c>
      <c r="E1589" s="1" t="s">
        <v>3771</v>
      </c>
      <c r="F1589" s="3">
        <v>0</v>
      </c>
      <c r="G1589" s="8" t="s">
        <v>2773</v>
      </c>
      <c r="H1589" s="8" t="s">
        <v>5159</v>
      </c>
      <c r="I1589" s="3">
        <v>30</v>
      </c>
      <c r="J1589" s="3" t="s">
        <v>5627</v>
      </c>
      <c r="K1589" s="17" t="str">
        <f>HYPERLINK("http://ictvonline.org/taxonomyHistory.asp?taxnode_id=20171902","ICTVonline=20171902")</f>
        <v>ICTVonline=20171902</v>
      </c>
      <c r="L1589" s="3">
        <v>1588</v>
      </c>
    </row>
    <row r="1590" spans="1:12" x14ac:dyDescent="0.15">
      <c r="A1590" s="1" t="s">
        <v>1452</v>
      </c>
      <c r="B1590" s="1" t="s">
        <v>2187</v>
      </c>
      <c r="D1590" s="1" t="s">
        <v>908</v>
      </c>
      <c r="E1590" s="1" t="s">
        <v>3772</v>
      </c>
      <c r="F1590" s="3">
        <v>0</v>
      </c>
      <c r="G1590" s="8" t="s">
        <v>2773</v>
      </c>
      <c r="H1590" s="8" t="s">
        <v>5159</v>
      </c>
      <c r="I1590" s="3">
        <v>30</v>
      </c>
      <c r="J1590" s="3" t="s">
        <v>5627</v>
      </c>
      <c r="K1590" s="17" t="str">
        <f>HYPERLINK("http://ictvonline.org/taxonomyHistory.asp?taxnode_id=20171904","ICTVonline=20171904")</f>
        <v>ICTVonline=20171904</v>
      </c>
      <c r="L1590" s="3">
        <v>1589</v>
      </c>
    </row>
    <row r="1591" spans="1:12" x14ac:dyDescent="0.15">
      <c r="A1591" s="1" t="s">
        <v>1452</v>
      </c>
      <c r="B1591" s="1" t="s">
        <v>2187</v>
      </c>
      <c r="D1591" s="1" t="s">
        <v>908</v>
      </c>
      <c r="E1591" s="1" t="s">
        <v>3773</v>
      </c>
      <c r="F1591" s="3">
        <v>0</v>
      </c>
      <c r="G1591" s="8" t="s">
        <v>2773</v>
      </c>
      <c r="H1591" s="8" t="s">
        <v>5159</v>
      </c>
      <c r="I1591" s="3">
        <v>30</v>
      </c>
      <c r="J1591" s="3" t="s">
        <v>5627</v>
      </c>
      <c r="K1591" s="17" t="str">
        <f>HYPERLINK("http://ictvonline.org/taxonomyHistory.asp?taxnode_id=20171905","ICTVonline=20171905")</f>
        <v>ICTVonline=20171905</v>
      </c>
      <c r="L1591" s="3">
        <v>1590</v>
      </c>
    </row>
    <row r="1592" spans="1:12" x14ac:dyDescent="0.15">
      <c r="A1592" s="1" t="s">
        <v>1452</v>
      </c>
      <c r="B1592" s="1" t="s">
        <v>1078</v>
      </c>
      <c r="D1592" s="1" t="s">
        <v>1079</v>
      </c>
      <c r="E1592" s="1" t="s">
        <v>1080</v>
      </c>
      <c r="F1592" s="3">
        <v>1</v>
      </c>
      <c r="G1592" s="8" t="s">
        <v>2773</v>
      </c>
      <c r="H1592" s="8" t="s">
        <v>5164</v>
      </c>
      <c r="I1592" s="3">
        <v>20</v>
      </c>
      <c r="J1592" s="3" t="s">
        <v>5628</v>
      </c>
      <c r="K1592" s="17" t="str">
        <f>HYPERLINK("http://ictvonline.org/taxonomyHistory.asp?taxnode_id=20171909","ICTVonline=20171909")</f>
        <v>ICTVonline=20171909</v>
      </c>
      <c r="L1592" s="3">
        <v>1591</v>
      </c>
    </row>
    <row r="1593" spans="1:12" x14ac:dyDescent="0.15">
      <c r="A1593" s="1" t="s">
        <v>5629</v>
      </c>
      <c r="B1593" s="1" t="s">
        <v>5630</v>
      </c>
      <c r="D1593" s="1" t="s">
        <v>2035</v>
      </c>
      <c r="E1593" s="1" t="s">
        <v>2036</v>
      </c>
      <c r="F1593" s="3">
        <v>0</v>
      </c>
      <c r="G1593" s="8" t="s">
        <v>2777</v>
      </c>
      <c r="H1593" s="8" t="s">
        <v>5161</v>
      </c>
      <c r="I1593" s="3">
        <v>32</v>
      </c>
      <c r="J1593" s="3" t="s">
        <v>5631</v>
      </c>
      <c r="K1593" s="17" t="str">
        <f>HYPERLINK("http://ictvonline.org/taxonomyHistory.asp?taxnode_id=20173847","ICTVonline=20173847")</f>
        <v>ICTVonline=20173847</v>
      </c>
      <c r="L1593" s="3">
        <v>1592</v>
      </c>
    </row>
    <row r="1594" spans="1:12" x14ac:dyDescent="0.15">
      <c r="A1594" s="1" t="s">
        <v>5629</v>
      </c>
      <c r="B1594" s="1" t="s">
        <v>5630</v>
      </c>
      <c r="D1594" s="1" t="s">
        <v>2035</v>
      </c>
      <c r="E1594" s="1" t="s">
        <v>5632</v>
      </c>
      <c r="F1594" s="3">
        <v>0</v>
      </c>
      <c r="G1594" s="8" t="s">
        <v>2777</v>
      </c>
      <c r="H1594" s="8" t="s">
        <v>5159</v>
      </c>
      <c r="I1594" s="3">
        <v>32</v>
      </c>
      <c r="J1594" s="3" t="s">
        <v>5631</v>
      </c>
      <c r="K1594" s="17" t="str">
        <f>HYPERLINK("http://ictvonline.org/taxonomyHistory.asp?taxnode_id=20175584","ICTVonline=20175584")</f>
        <v>ICTVonline=20175584</v>
      </c>
      <c r="L1594" s="3">
        <v>1593</v>
      </c>
    </row>
    <row r="1595" spans="1:12" x14ac:dyDescent="0.15">
      <c r="A1595" s="1" t="s">
        <v>5629</v>
      </c>
      <c r="B1595" s="1" t="s">
        <v>5630</v>
      </c>
      <c r="D1595" s="1" t="s">
        <v>2035</v>
      </c>
      <c r="E1595" s="1" t="s">
        <v>2037</v>
      </c>
      <c r="F1595" s="3">
        <v>1</v>
      </c>
      <c r="G1595" s="8" t="s">
        <v>2777</v>
      </c>
      <c r="H1595" s="8" t="s">
        <v>5161</v>
      </c>
      <c r="I1595" s="3">
        <v>32</v>
      </c>
      <c r="J1595" s="3" t="s">
        <v>5631</v>
      </c>
      <c r="K1595" s="17" t="str">
        <f>HYPERLINK("http://ictvonline.org/taxonomyHistory.asp?taxnode_id=20173848","ICTVonline=20173848")</f>
        <v>ICTVonline=20173848</v>
      </c>
      <c r="L1595" s="3">
        <v>1594</v>
      </c>
    </row>
    <row r="1596" spans="1:12" x14ac:dyDescent="0.15">
      <c r="A1596" s="1" t="s">
        <v>5629</v>
      </c>
      <c r="B1596" s="1" t="s">
        <v>5630</v>
      </c>
      <c r="D1596" s="1" t="s">
        <v>2035</v>
      </c>
      <c r="E1596" s="1" t="s">
        <v>2038</v>
      </c>
      <c r="F1596" s="3">
        <v>0</v>
      </c>
      <c r="G1596" s="8" t="s">
        <v>2777</v>
      </c>
      <c r="H1596" s="8" t="s">
        <v>5161</v>
      </c>
      <c r="I1596" s="3">
        <v>32</v>
      </c>
      <c r="J1596" s="3" t="s">
        <v>5631</v>
      </c>
      <c r="K1596" s="17" t="str">
        <f>HYPERLINK("http://ictvonline.org/taxonomyHistory.asp?taxnode_id=20173849","ICTVonline=20173849")</f>
        <v>ICTVonline=20173849</v>
      </c>
      <c r="L1596" s="3">
        <v>1595</v>
      </c>
    </row>
    <row r="1597" spans="1:12" x14ac:dyDescent="0.15">
      <c r="A1597" s="1" t="s">
        <v>5629</v>
      </c>
      <c r="B1597" s="1" t="s">
        <v>5630</v>
      </c>
      <c r="D1597" s="1" t="s">
        <v>2035</v>
      </c>
      <c r="E1597" s="1" t="s">
        <v>1165</v>
      </c>
      <c r="F1597" s="3">
        <v>0</v>
      </c>
      <c r="G1597" s="8" t="s">
        <v>2777</v>
      </c>
      <c r="H1597" s="8" t="s">
        <v>5161</v>
      </c>
      <c r="I1597" s="3">
        <v>32</v>
      </c>
      <c r="J1597" s="3" t="s">
        <v>5631</v>
      </c>
      <c r="K1597" s="17" t="str">
        <f>HYPERLINK("http://ictvonline.org/taxonomyHistory.asp?taxnode_id=20173850","ICTVonline=20173850")</f>
        <v>ICTVonline=20173850</v>
      </c>
      <c r="L1597" s="3">
        <v>1596</v>
      </c>
    </row>
    <row r="1598" spans="1:12" x14ac:dyDescent="0.15">
      <c r="A1598" s="1" t="s">
        <v>5629</v>
      </c>
      <c r="B1598" s="1" t="s">
        <v>5630</v>
      </c>
      <c r="D1598" s="1" t="s">
        <v>2035</v>
      </c>
      <c r="E1598" s="1" t="s">
        <v>1166</v>
      </c>
      <c r="F1598" s="3">
        <v>0</v>
      </c>
      <c r="G1598" s="8" t="s">
        <v>2777</v>
      </c>
      <c r="H1598" s="8" t="s">
        <v>5161</v>
      </c>
      <c r="I1598" s="3">
        <v>32</v>
      </c>
      <c r="J1598" s="3" t="s">
        <v>5631</v>
      </c>
      <c r="K1598" s="17" t="str">
        <f>HYPERLINK("http://ictvonline.org/taxonomyHistory.asp?taxnode_id=20173851","ICTVonline=20173851")</f>
        <v>ICTVonline=20173851</v>
      </c>
      <c r="L1598" s="3">
        <v>1597</v>
      </c>
    </row>
    <row r="1599" spans="1:12" x14ac:dyDescent="0.15">
      <c r="A1599" s="1" t="s">
        <v>5629</v>
      </c>
      <c r="B1599" s="1" t="s">
        <v>5630</v>
      </c>
      <c r="D1599" s="1" t="s">
        <v>2035</v>
      </c>
      <c r="E1599" s="1" t="s">
        <v>1167</v>
      </c>
      <c r="F1599" s="3">
        <v>0</v>
      </c>
      <c r="G1599" s="8" t="s">
        <v>2777</v>
      </c>
      <c r="H1599" s="8" t="s">
        <v>5161</v>
      </c>
      <c r="I1599" s="3">
        <v>32</v>
      </c>
      <c r="J1599" s="3" t="s">
        <v>5631</v>
      </c>
      <c r="K1599" s="17" t="str">
        <f>HYPERLINK("http://ictvonline.org/taxonomyHistory.asp?taxnode_id=20173852","ICTVonline=20173852")</f>
        <v>ICTVonline=20173852</v>
      </c>
      <c r="L1599" s="3">
        <v>1598</v>
      </c>
    </row>
    <row r="1600" spans="1:12" x14ac:dyDescent="0.15">
      <c r="A1600" s="1" t="s">
        <v>5629</v>
      </c>
      <c r="B1600" s="1" t="s">
        <v>5630</v>
      </c>
      <c r="D1600" s="1" t="s">
        <v>2035</v>
      </c>
      <c r="E1600" s="1" t="s">
        <v>5633</v>
      </c>
      <c r="F1600" s="3">
        <v>0</v>
      </c>
      <c r="G1600" s="8" t="s">
        <v>2777</v>
      </c>
      <c r="H1600" s="8" t="s">
        <v>5159</v>
      </c>
      <c r="I1600" s="3">
        <v>32</v>
      </c>
      <c r="J1600" s="3" t="s">
        <v>5631</v>
      </c>
      <c r="K1600" s="17" t="str">
        <f>HYPERLINK("http://ictvonline.org/taxonomyHistory.asp?taxnode_id=20175585","ICTVonline=20175585")</f>
        <v>ICTVonline=20175585</v>
      </c>
      <c r="L1600" s="3">
        <v>1599</v>
      </c>
    </row>
    <row r="1601" spans="1:12" x14ac:dyDescent="0.15">
      <c r="A1601" s="1" t="s">
        <v>5629</v>
      </c>
      <c r="B1601" s="1" t="s">
        <v>5630</v>
      </c>
      <c r="D1601" s="1" t="s">
        <v>2035</v>
      </c>
      <c r="E1601" s="1" t="s">
        <v>1697</v>
      </c>
      <c r="F1601" s="3">
        <v>0</v>
      </c>
      <c r="G1601" s="8" t="s">
        <v>2777</v>
      </c>
      <c r="H1601" s="8" t="s">
        <v>5161</v>
      </c>
      <c r="I1601" s="3">
        <v>32</v>
      </c>
      <c r="J1601" s="3" t="s">
        <v>5631</v>
      </c>
      <c r="K1601" s="17" t="str">
        <f>HYPERLINK("http://ictvonline.org/taxonomyHistory.asp?taxnode_id=20173853","ICTVonline=20173853")</f>
        <v>ICTVonline=20173853</v>
      </c>
      <c r="L1601" s="3">
        <v>1600</v>
      </c>
    </row>
    <row r="1602" spans="1:12" x14ac:dyDescent="0.15">
      <c r="A1602" s="1" t="s">
        <v>5629</v>
      </c>
      <c r="B1602" s="1" t="s">
        <v>5630</v>
      </c>
      <c r="D1602" s="1" t="s">
        <v>2035</v>
      </c>
      <c r="E1602" s="1" t="s">
        <v>5634</v>
      </c>
      <c r="F1602" s="3">
        <v>0</v>
      </c>
      <c r="G1602" s="8" t="s">
        <v>2777</v>
      </c>
      <c r="H1602" s="8" t="s">
        <v>5159</v>
      </c>
      <c r="I1602" s="3">
        <v>32</v>
      </c>
      <c r="J1602" s="3" t="s">
        <v>5631</v>
      </c>
      <c r="K1602" s="17" t="str">
        <f>HYPERLINK("http://ictvonline.org/taxonomyHistory.asp?taxnode_id=20175586","ICTVonline=20175586")</f>
        <v>ICTVonline=20175586</v>
      </c>
      <c r="L1602" s="3">
        <v>1601</v>
      </c>
    </row>
    <row r="1603" spans="1:12" x14ac:dyDescent="0.15">
      <c r="A1603" s="1" t="s">
        <v>5629</v>
      </c>
      <c r="B1603" s="1" t="s">
        <v>5630</v>
      </c>
      <c r="D1603" s="1" t="s">
        <v>2035</v>
      </c>
      <c r="E1603" s="1" t="s">
        <v>5635</v>
      </c>
      <c r="F1603" s="3">
        <v>0</v>
      </c>
      <c r="G1603" s="8" t="s">
        <v>2777</v>
      </c>
      <c r="H1603" s="8" t="s">
        <v>5160</v>
      </c>
      <c r="I1603" s="3">
        <v>32</v>
      </c>
      <c r="J1603" s="3" t="s">
        <v>5631</v>
      </c>
      <c r="K1603" s="17" t="str">
        <f>HYPERLINK("http://ictvonline.org/taxonomyHistory.asp?taxnode_id=20173854","ICTVonline=20173854")</f>
        <v>ICTVonline=20173854</v>
      </c>
      <c r="L1603" s="3">
        <v>1602</v>
      </c>
    </row>
    <row r="1604" spans="1:12" x14ac:dyDescent="0.15">
      <c r="A1604" s="1" t="s">
        <v>5629</v>
      </c>
      <c r="B1604" s="1" t="s">
        <v>2032</v>
      </c>
      <c r="D1604" s="1" t="s">
        <v>2033</v>
      </c>
      <c r="E1604" s="1" t="s">
        <v>2034</v>
      </c>
      <c r="F1604" s="3">
        <v>0</v>
      </c>
      <c r="G1604" s="8" t="s">
        <v>3888</v>
      </c>
      <c r="H1604" s="8" t="s">
        <v>5161</v>
      </c>
      <c r="I1604" s="3">
        <v>32</v>
      </c>
      <c r="J1604" s="3" t="s">
        <v>5636</v>
      </c>
      <c r="K1604" s="17" t="str">
        <f>HYPERLINK("http://ictvonline.org/taxonomyHistory.asp?taxnode_id=20172819","ICTVonline=20172819")</f>
        <v>ICTVonline=20172819</v>
      </c>
      <c r="L1604" s="3">
        <v>1603</v>
      </c>
    </row>
    <row r="1605" spans="1:12" x14ac:dyDescent="0.15">
      <c r="A1605" s="1" t="s">
        <v>5629</v>
      </c>
      <c r="B1605" s="1" t="s">
        <v>2032</v>
      </c>
      <c r="D1605" s="1" t="s">
        <v>2033</v>
      </c>
      <c r="E1605" s="1" t="s">
        <v>2145</v>
      </c>
      <c r="F1605" s="3">
        <v>0</v>
      </c>
      <c r="G1605" s="8" t="s">
        <v>3888</v>
      </c>
      <c r="H1605" s="8" t="s">
        <v>5161</v>
      </c>
      <c r="I1605" s="3">
        <v>32</v>
      </c>
      <c r="J1605" s="3" t="s">
        <v>5636</v>
      </c>
      <c r="K1605" s="17" t="str">
        <f>HYPERLINK("http://ictvonline.org/taxonomyHistory.asp?taxnode_id=20172820","ICTVonline=20172820")</f>
        <v>ICTVonline=20172820</v>
      </c>
      <c r="L1605" s="3">
        <v>1604</v>
      </c>
    </row>
    <row r="1606" spans="1:12" x14ac:dyDescent="0.15">
      <c r="A1606" s="1" t="s">
        <v>5629</v>
      </c>
      <c r="B1606" s="1" t="s">
        <v>2032</v>
      </c>
      <c r="D1606" s="1" t="s">
        <v>2033</v>
      </c>
      <c r="E1606" s="1" t="s">
        <v>2696</v>
      </c>
      <c r="F1606" s="3">
        <v>0</v>
      </c>
      <c r="G1606" s="8" t="s">
        <v>3888</v>
      </c>
      <c r="H1606" s="8" t="s">
        <v>5161</v>
      </c>
      <c r="I1606" s="3">
        <v>32</v>
      </c>
      <c r="J1606" s="3" t="s">
        <v>5636</v>
      </c>
      <c r="K1606" s="17" t="str">
        <f>HYPERLINK("http://ictvonline.org/taxonomyHistory.asp?taxnode_id=20172821","ICTVonline=20172821")</f>
        <v>ICTVonline=20172821</v>
      </c>
      <c r="L1606" s="3">
        <v>1605</v>
      </c>
    </row>
    <row r="1607" spans="1:12" x14ac:dyDescent="0.15">
      <c r="A1607" s="1" t="s">
        <v>5629</v>
      </c>
      <c r="B1607" s="1" t="s">
        <v>2032</v>
      </c>
      <c r="D1607" s="1" t="s">
        <v>2033</v>
      </c>
      <c r="E1607" s="1" t="s">
        <v>564</v>
      </c>
      <c r="F1607" s="3">
        <v>0</v>
      </c>
      <c r="G1607" s="8" t="s">
        <v>3888</v>
      </c>
      <c r="H1607" s="8" t="s">
        <v>5161</v>
      </c>
      <c r="I1607" s="3">
        <v>32</v>
      </c>
      <c r="J1607" s="3" t="s">
        <v>5636</v>
      </c>
      <c r="K1607" s="17" t="str">
        <f>HYPERLINK("http://ictvonline.org/taxonomyHistory.asp?taxnode_id=20172822","ICTVonline=20172822")</f>
        <v>ICTVonline=20172822</v>
      </c>
      <c r="L1607" s="3">
        <v>1606</v>
      </c>
    </row>
    <row r="1608" spans="1:12" x14ac:dyDescent="0.15">
      <c r="A1608" s="1" t="s">
        <v>5629</v>
      </c>
      <c r="B1608" s="1" t="s">
        <v>2032</v>
      </c>
      <c r="D1608" s="1" t="s">
        <v>2033</v>
      </c>
      <c r="E1608" s="1" t="s">
        <v>2146</v>
      </c>
      <c r="F1608" s="3">
        <v>0</v>
      </c>
      <c r="G1608" s="8" t="s">
        <v>3888</v>
      </c>
      <c r="H1608" s="8" t="s">
        <v>5161</v>
      </c>
      <c r="I1608" s="3">
        <v>32</v>
      </c>
      <c r="J1608" s="3" t="s">
        <v>5636</v>
      </c>
      <c r="K1608" s="17" t="str">
        <f>HYPERLINK("http://ictvonline.org/taxonomyHistory.asp?taxnode_id=20172823","ICTVonline=20172823")</f>
        <v>ICTVonline=20172823</v>
      </c>
      <c r="L1608" s="3">
        <v>1607</v>
      </c>
    </row>
    <row r="1609" spans="1:12" x14ac:dyDescent="0.15">
      <c r="A1609" s="1" t="s">
        <v>5629</v>
      </c>
      <c r="B1609" s="1" t="s">
        <v>2032</v>
      </c>
      <c r="D1609" s="1" t="s">
        <v>2033</v>
      </c>
      <c r="E1609" s="1" t="s">
        <v>2697</v>
      </c>
      <c r="F1609" s="3">
        <v>0</v>
      </c>
      <c r="G1609" s="8" t="s">
        <v>3888</v>
      </c>
      <c r="H1609" s="8" t="s">
        <v>5161</v>
      </c>
      <c r="I1609" s="3">
        <v>32</v>
      </c>
      <c r="J1609" s="3" t="s">
        <v>5636</v>
      </c>
      <c r="K1609" s="17" t="str">
        <f>HYPERLINK("http://ictvonline.org/taxonomyHistory.asp?taxnode_id=20172824","ICTVonline=20172824")</f>
        <v>ICTVonline=20172824</v>
      </c>
      <c r="L1609" s="3">
        <v>1608</v>
      </c>
    </row>
    <row r="1610" spans="1:12" x14ac:dyDescent="0.15">
      <c r="A1610" s="1" t="s">
        <v>5629</v>
      </c>
      <c r="B1610" s="1" t="s">
        <v>2032</v>
      </c>
      <c r="D1610" s="1" t="s">
        <v>2033</v>
      </c>
      <c r="E1610" s="1" t="s">
        <v>2698</v>
      </c>
      <c r="F1610" s="3">
        <v>0</v>
      </c>
      <c r="G1610" s="8" t="s">
        <v>3888</v>
      </c>
      <c r="H1610" s="8" t="s">
        <v>5161</v>
      </c>
      <c r="I1610" s="3">
        <v>32</v>
      </c>
      <c r="J1610" s="3" t="s">
        <v>5636</v>
      </c>
      <c r="K1610" s="17" t="str">
        <f>HYPERLINK("http://ictvonline.org/taxonomyHistory.asp?taxnode_id=20172825","ICTVonline=20172825")</f>
        <v>ICTVonline=20172825</v>
      </c>
      <c r="L1610" s="3">
        <v>1609</v>
      </c>
    </row>
    <row r="1611" spans="1:12" x14ac:dyDescent="0.15">
      <c r="A1611" s="1" t="s">
        <v>5629</v>
      </c>
      <c r="B1611" s="1" t="s">
        <v>2032</v>
      </c>
      <c r="D1611" s="1" t="s">
        <v>2033</v>
      </c>
      <c r="E1611" s="1" t="s">
        <v>2699</v>
      </c>
      <c r="F1611" s="3">
        <v>0</v>
      </c>
      <c r="G1611" s="8" t="s">
        <v>3888</v>
      </c>
      <c r="H1611" s="8" t="s">
        <v>5161</v>
      </c>
      <c r="I1611" s="3">
        <v>32</v>
      </c>
      <c r="J1611" s="3" t="s">
        <v>5636</v>
      </c>
      <c r="K1611" s="17" t="str">
        <f>HYPERLINK("http://ictvonline.org/taxonomyHistory.asp?taxnode_id=20172826","ICTVonline=20172826")</f>
        <v>ICTVonline=20172826</v>
      </c>
      <c r="L1611" s="3">
        <v>1610</v>
      </c>
    </row>
    <row r="1612" spans="1:12" x14ac:dyDescent="0.15">
      <c r="A1612" s="1" t="s">
        <v>5629</v>
      </c>
      <c r="B1612" s="1" t="s">
        <v>2032</v>
      </c>
      <c r="D1612" s="1" t="s">
        <v>2033</v>
      </c>
      <c r="E1612" s="1" t="s">
        <v>2700</v>
      </c>
      <c r="F1612" s="3">
        <v>0</v>
      </c>
      <c r="G1612" s="8" t="s">
        <v>3888</v>
      </c>
      <c r="H1612" s="8" t="s">
        <v>5161</v>
      </c>
      <c r="I1612" s="3">
        <v>32</v>
      </c>
      <c r="J1612" s="3" t="s">
        <v>5636</v>
      </c>
      <c r="K1612" s="17" t="str">
        <f>HYPERLINK("http://ictvonline.org/taxonomyHistory.asp?taxnode_id=20172827","ICTVonline=20172827")</f>
        <v>ICTVonline=20172827</v>
      </c>
      <c r="L1612" s="3">
        <v>1611</v>
      </c>
    </row>
    <row r="1613" spans="1:12" x14ac:dyDescent="0.15">
      <c r="A1613" s="1" t="s">
        <v>5629</v>
      </c>
      <c r="B1613" s="1" t="s">
        <v>2032</v>
      </c>
      <c r="D1613" s="1" t="s">
        <v>2033</v>
      </c>
      <c r="E1613" s="1" t="s">
        <v>76</v>
      </c>
      <c r="F1613" s="3">
        <v>0</v>
      </c>
      <c r="G1613" s="8" t="s">
        <v>3888</v>
      </c>
      <c r="H1613" s="8" t="s">
        <v>5161</v>
      </c>
      <c r="I1613" s="3">
        <v>32</v>
      </c>
      <c r="J1613" s="3" t="s">
        <v>5636</v>
      </c>
      <c r="K1613" s="17" t="str">
        <f>HYPERLINK("http://ictvonline.org/taxonomyHistory.asp?taxnode_id=20172828","ICTVonline=20172828")</f>
        <v>ICTVonline=20172828</v>
      </c>
      <c r="L1613" s="3">
        <v>1612</v>
      </c>
    </row>
    <row r="1614" spans="1:12" x14ac:dyDescent="0.15">
      <c r="A1614" s="1" t="s">
        <v>5629</v>
      </c>
      <c r="B1614" s="1" t="s">
        <v>2032</v>
      </c>
      <c r="D1614" s="1" t="s">
        <v>2033</v>
      </c>
      <c r="E1614" s="1" t="s">
        <v>77</v>
      </c>
      <c r="F1614" s="3">
        <v>0</v>
      </c>
      <c r="G1614" s="8" t="s">
        <v>3888</v>
      </c>
      <c r="H1614" s="8" t="s">
        <v>5161</v>
      </c>
      <c r="I1614" s="3">
        <v>32</v>
      </c>
      <c r="J1614" s="3" t="s">
        <v>5636</v>
      </c>
      <c r="K1614" s="17" t="str">
        <f>HYPERLINK("http://ictvonline.org/taxonomyHistory.asp?taxnode_id=20172829","ICTVonline=20172829")</f>
        <v>ICTVonline=20172829</v>
      </c>
      <c r="L1614" s="3">
        <v>1613</v>
      </c>
    </row>
    <row r="1615" spans="1:12" x14ac:dyDescent="0.15">
      <c r="A1615" s="1" t="s">
        <v>5629</v>
      </c>
      <c r="B1615" s="1" t="s">
        <v>2032</v>
      </c>
      <c r="D1615" s="1" t="s">
        <v>2033</v>
      </c>
      <c r="E1615" s="1" t="s">
        <v>5637</v>
      </c>
      <c r="F1615" s="3">
        <v>0</v>
      </c>
      <c r="G1615" s="8" t="s">
        <v>3888</v>
      </c>
      <c r="H1615" s="8" t="s">
        <v>5159</v>
      </c>
      <c r="I1615" s="3">
        <v>32</v>
      </c>
      <c r="J1615" s="3" t="s">
        <v>5638</v>
      </c>
      <c r="K1615" s="17" t="str">
        <f>HYPERLINK("http://ictvonline.org/taxonomyHistory.asp?taxnode_id=20175761","ICTVonline=20175761")</f>
        <v>ICTVonline=20175761</v>
      </c>
      <c r="L1615" s="3">
        <v>1614</v>
      </c>
    </row>
    <row r="1616" spans="1:12" x14ac:dyDescent="0.15">
      <c r="A1616" s="1" t="s">
        <v>5629</v>
      </c>
      <c r="B1616" s="1" t="s">
        <v>2032</v>
      </c>
      <c r="D1616" s="1" t="s">
        <v>2033</v>
      </c>
      <c r="E1616" s="1" t="s">
        <v>3889</v>
      </c>
      <c r="F1616" s="3">
        <v>0</v>
      </c>
      <c r="G1616" s="8" t="s">
        <v>3888</v>
      </c>
      <c r="H1616" s="8" t="s">
        <v>5161</v>
      </c>
      <c r="I1616" s="3">
        <v>32</v>
      </c>
      <c r="J1616" s="3" t="s">
        <v>5636</v>
      </c>
      <c r="K1616" s="17" t="str">
        <f>HYPERLINK("http://ictvonline.org/taxonomyHistory.asp?taxnode_id=20172830","ICTVonline=20172830")</f>
        <v>ICTVonline=20172830</v>
      </c>
      <c r="L1616" s="3">
        <v>1615</v>
      </c>
    </row>
    <row r="1617" spans="1:12" x14ac:dyDescent="0.15">
      <c r="A1617" s="1" t="s">
        <v>5629</v>
      </c>
      <c r="B1617" s="1" t="s">
        <v>2032</v>
      </c>
      <c r="D1617" s="1" t="s">
        <v>2033</v>
      </c>
      <c r="E1617" s="1" t="s">
        <v>3890</v>
      </c>
      <c r="F1617" s="3">
        <v>0</v>
      </c>
      <c r="G1617" s="8" t="s">
        <v>3888</v>
      </c>
      <c r="H1617" s="8" t="s">
        <v>5161</v>
      </c>
      <c r="I1617" s="3">
        <v>32</v>
      </c>
      <c r="J1617" s="3" t="s">
        <v>5636</v>
      </c>
      <c r="K1617" s="17" t="str">
        <f>HYPERLINK("http://ictvonline.org/taxonomyHistory.asp?taxnode_id=20172831","ICTVonline=20172831")</f>
        <v>ICTVonline=20172831</v>
      </c>
      <c r="L1617" s="3">
        <v>1616</v>
      </c>
    </row>
    <row r="1618" spans="1:12" x14ac:dyDescent="0.15">
      <c r="A1618" s="1" t="s">
        <v>5629</v>
      </c>
      <c r="B1618" s="1" t="s">
        <v>2032</v>
      </c>
      <c r="D1618" s="1" t="s">
        <v>2033</v>
      </c>
      <c r="E1618" s="1" t="s">
        <v>2147</v>
      </c>
      <c r="F1618" s="3">
        <v>0</v>
      </c>
      <c r="G1618" s="8" t="s">
        <v>3888</v>
      </c>
      <c r="H1618" s="8" t="s">
        <v>5161</v>
      </c>
      <c r="I1618" s="3">
        <v>32</v>
      </c>
      <c r="J1618" s="3" t="s">
        <v>5636</v>
      </c>
      <c r="K1618" s="17" t="str">
        <f>HYPERLINK("http://ictvonline.org/taxonomyHistory.asp?taxnode_id=20172832","ICTVonline=20172832")</f>
        <v>ICTVonline=20172832</v>
      </c>
      <c r="L1618" s="3">
        <v>1617</v>
      </c>
    </row>
    <row r="1619" spans="1:12" x14ac:dyDescent="0.15">
      <c r="A1619" s="1" t="s">
        <v>5629</v>
      </c>
      <c r="B1619" s="1" t="s">
        <v>2032</v>
      </c>
      <c r="D1619" s="1" t="s">
        <v>2033</v>
      </c>
      <c r="E1619" s="1" t="s">
        <v>5639</v>
      </c>
      <c r="F1619" s="3">
        <v>0</v>
      </c>
      <c r="G1619" s="8" t="s">
        <v>3888</v>
      </c>
      <c r="H1619" s="8" t="s">
        <v>5159</v>
      </c>
      <c r="I1619" s="3">
        <v>32</v>
      </c>
      <c r="J1619" s="3" t="s">
        <v>5638</v>
      </c>
      <c r="K1619" s="17" t="str">
        <f>HYPERLINK("http://ictvonline.org/taxonomyHistory.asp?taxnode_id=20175762","ICTVonline=20175762")</f>
        <v>ICTVonline=20175762</v>
      </c>
      <c r="L1619" s="3">
        <v>1618</v>
      </c>
    </row>
    <row r="1620" spans="1:12" x14ac:dyDescent="0.15">
      <c r="A1620" s="1" t="s">
        <v>5629</v>
      </c>
      <c r="B1620" s="1" t="s">
        <v>2032</v>
      </c>
      <c r="D1620" s="1" t="s">
        <v>2033</v>
      </c>
      <c r="E1620" s="1" t="s">
        <v>2039</v>
      </c>
      <c r="F1620" s="3">
        <v>0</v>
      </c>
      <c r="G1620" s="8" t="s">
        <v>3888</v>
      </c>
      <c r="H1620" s="8" t="s">
        <v>5161</v>
      </c>
      <c r="I1620" s="3">
        <v>32</v>
      </c>
      <c r="J1620" s="3" t="s">
        <v>5636</v>
      </c>
      <c r="K1620" s="17" t="str">
        <f>HYPERLINK("http://ictvonline.org/taxonomyHistory.asp?taxnode_id=20172833","ICTVonline=20172833")</f>
        <v>ICTVonline=20172833</v>
      </c>
      <c r="L1620" s="3">
        <v>1619</v>
      </c>
    </row>
    <row r="1621" spans="1:12" x14ac:dyDescent="0.15">
      <c r="A1621" s="1" t="s">
        <v>5629</v>
      </c>
      <c r="B1621" s="1" t="s">
        <v>2032</v>
      </c>
      <c r="D1621" s="1" t="s">
        <v>2033</v>
      </c>
      <c r="E1621" s="1" t="s">
        <v>78</v>
      </c>
      <c r="F1621" s="3">
        <v>0</v>
      </c>
      <c r="G1621" s="8" t="s">
        <v>3888</v>
      </c>
      <c r="H1621" s="8" t="s">
        <v>5161</v>
      </c>
      <c r="I1621" s="3">
        <v>32</v>
      </c>
      <c r="J1621" s="3" t="s">
        <v>5636</v>
      </c>
      <c r="K1621" s="17" t="str">
        <f>HYPERLINK("http://ictvonline.org/taxonomyHistory.asp?taxnode_id=20172834","ICTVonline=20172834")</f>
        <v>ICTVonline=20172834</v>
      </c>
      <c r="L1621" s="3">
        <v>1620</v>
      </c>
    </row>
    <row r="1622" spans="1:12" x14ac:dyDescent="0.15">
      <c r="A1622" s="1" t="s">
        <v>5629</v>
      </c>
      <c r="B1622" s="1" t="s">
        <v>2032</v>
      </c>
      <c r="D1622" s="1" t="s">
        <v>2033</v>
      </c>
      <c r="E1622" s="1" t="s">
        <v>1958</v>
      </c>
      <c r="F1622" s="3">
        <v>1</v>
      </c>
      <c r="G1622" s="8" t="s">
        <v>3888</v>
      </c>
      <c r="H1622" s="8" t="s">
        <v>5161</v>
      </c>
      <c r="I1622" s="3">
        <v>32</v>
      </c>
      <c r="J1622" s="3" t="s">
        <v>5636</v>
      </c>
      <c r="K1622" s="17" t="str">
        <f>HYPERLINK("http://ictvonline.org/taxonomyHistory.asp?taxnode_id=20172835","ICTVonline=20172835")</f>
        <v>ICTVonline=20172835</v>
      </c>
      <c r="L1622" s="3">
        <v>1621</v>
      </c>
    </row>
    <row r="1623" spans="1:12" x14ac:dyDescent="0.15">
      <c r="A1623" s="1" t="s">
        <v>5629</v>
      </c>
      <c r="B1623" s="1" t="s">
        <v>2032</v>
      </c>
      <c r="D1623" s="1" t="s">
        <v>2033</v>
      </c>
      <c r="E1623" s="1" t="s">
        <v>79</v>
      </c>
      <c r="F1623" s="3">
        <v>0</v>
      </c>
      <c r="G1623" s="8" t="s">
        <v>3888</v>
      </c>
      <c r="H1623" s="8" t="s">
        <v>5161</v>
      </c>
      <c r="I1623" s="3">
        <v>32</v>
      </c>
      <c r="J1623" s="3" t="s">
        <v>5636</v>
      </c>
      <c r="K1623" s="17" t="str">
        <f>HYPERLINK("http://ictvonline.org/taxonomyHistory.asp?taxnode_id=20172836","ICTVonline=20172836")</f>
        <v>ICTVonline=20172836</v>
      </c>
      <c r="L1623" s="3">
        <v>1622</v>
      </c>
    </row>
    <row r="1624" spans="1:12" x14ac:dyDescent="0.15">
      <c r="A1624" s="1" t="s">
        <v>5629</v>
      </c>
      <c r="B1624" s="1" t="s">
        <v>2032</v>
      </c>
      <c r="D1624" s="1" t="s">
        <v>2033</v>
      </c>
      <c r="E1624" s="1" t="s">
        <v>5640</v>
      </c>
      <c r="F1624" s="3">
        <v>0</v>
      </c>
      <c r="G1624" s="8" t="s">
        <v>3888</v>
      </c>
      <c r="H1624" s="8" t="s">
        <v>5159</v>
      </c>
      <c r="I1624" s="3">
        <v>32</v>
      </c>
      <c r="J1624" s="3" t="s">
        <v>5638</v>
      </c>
      <c r="K1624" s="17" t="str">
        <f>HYPERLINK("http://ictvonline.org/taxonomyHistory.asp?taxnode_id=20175763","ICTVonline=20175763")</f>
        <v>ICTVonline=20175763</v>
      </c>
      <c r="L1624" s="3">
        <v>1623</v>
      </c>
    </row>
    <row r="1625" spans="1:12" x14ac:dyDescent="0.15">
      <c r="A1625" s="1" t="s">
        <v>5629</v>
      </c>
      <c r="B1625" s="1" t="s">
        <v>2032</v>
      </c>
      <c r="D1625" s="1" t="s">
        <v>2033</v>
      </c>
      <c r="E1625" s="1" t="s">
        <v>5641</v>
      </c>
      <c r="F1625" s="3">
        <v>0</v>
      </c>
      <c r="G1625" s="8" t="s">
        <v>3888</v>
      </c>
      <c r="H1625" s="8" t="s">
        <v>5159</v>
      </c>
      <c r="I1625" s="3">
        <v>32</v>
      </c>
      <c r="J1625" s="3" t="s">
        <v>5638</v>
      </c>
      <c r="K1625" s="17" t="str">
        <f>HYPERLINK("http://ictvonline.org/taxonomyHistory.asp?taxnode_id=20175764","ICTVonline=20175764")</f>
        <v>ICTVonline=20175764</v>
      </c>
      <c r="L1625" s="3">
        <v>1624</v>
      </c>
    </row>
    <row r="1626" spans="1:12" x14ac:dyDescent="0.15">
      <c r="A1626" s="1" t="s">
        <v>5629</v>
      </c>
      <c r="B1626" s="1" t="s">
        <v>2032</v>
      </c>
      <c r="D1626" s="1" t="s">
        <v>2033</v>
      </c>
      <c r="E1626" s="1" t="s">
        <v>80</v>
      </c>
      <c r="F1626" s="3">
        <v>0</v>
      </c>
      <c r="G1626" s="8" t="s">
        <v>3888</v>
      </c>
      <c r="H1626" s="8" t="s">
        <v>5161</v>
      </c>
      <c r="I1626" s="3">
        <v>32</v>
      </c>
      <c r="J1626" s="3" t="s">
        <v>5636</v>
      </c>
      <c r="K1626" s="17" t="str">
        <f>HYPERLINK("http://ictvonline.org/taxonomyHistory.asp?taxnode_id=20172837","ICTVonline=20172837")</f>
        <v>ICTVonline=20172837</v>
      </c>
      <c r="L1626" s="3">
        <v>1625</v>
      </c>
    </row>
    <row r="1627" spans="1:12" x14ac:dyDescent="0.15">
      <c r="A1627" s="1" t="s">
        <v>5629</v>
      </c>
      <c r="B1627" s="1" t="s">
        <v>2032</v>
      </c>
      <c r="D1627" s="1" t="s">
        <v>2033</v>
      </c>
      <c r="E1627" s="1" t="s">
        <v>5642</v>
      </c>
      <c r="F1627" s="3">
        <v>0</v>
      </c>
      <c r="G1627" s="8" t="s">
        <v>3888</v>
      </c>
      <c r="H1627" s="8" t="s">
        <v>5159</v>
      </c>
      <c r="I1627" s="3">
        <v>32</v>
      </c>
      <c r="J1627" s="3" t="s">
        <v>5638</v>
      </c>
      <c r="K1627" s="17" t="str">
        <f>HYPERLINK("http://ictvonline.org/taxonomyHistory.asp?taxnode_id=20175765","ICTVonline=20175765")</f>
        <v>ICTVonline=20175765</v>
      </c>
      <c r="L1627" s="3">
        <v>1626</v>
      </c>
    </row>
    <row r="1628" spans="1:12" x14ac:dyDescent="0.15">
      <c r="A1628" s="1" t="s">
        <v>5629</v>
      </c>
      <c r="B1628" s="1" t="s">
        <v>2032</v>
      </c>
      <c r="D1628" s="1" t="s">
        <v>2033</v>
      </c>
      <c r="E1628" s="1" t="s">
        <v>2701</v>
      </c>
      <c r="F1628" s="3">
        <v>0</v>
      </c>
      <c r="G1628" s="8" t="s">
        <v>3888</v>
      </c>
      <c r="H1628" s="8" t="s">
        <v>5161</v>
      </c>
      <c r="I1628" s="3">
        <v>32</v>
      </c>
      <c r="J1628" s="3" t="s">
        <v>5636</v>
      </c>
      <c r="K1628" s="17" t="str">
        <f>HYPERLINK("http://ictvonline.org/taxonomyHistory.asp?taxnode_id=20172838","ICTVonline=20172838")</f>
        <v>ICTVonline=20172838</v>
      </c>
      <c r="L1628" s="3">
        <v>1627</v>
      </c>
    </row>
    <row r="1629" spans="1:12" x14ac:dyDescent="0.15">
      <c r="A1629" s="1" t="s">
        <v>5629</v>
      </c>
      <c r="B1629" s="1" t="s">
        <v>2032</v>
      </c>
      <c r="D1629" s="1" t="s">
        <v>2033</v>
      </c>
      <c r="E1629" s="1" t="s">
        <v>1168</v>
      </c>
      <c r="F1629" s="3">
        <v>0</v>
      </c>
      <c r="G1629" s="8" t="s">
        <v>3888</v>
      </c>
      <c r="H1629" s="8" t="s">
        <v>5161</v>
      </c>
      <c r="I1629" s="3">
        <v>32</v>
      </c>
      <c r="J1629" s="3" t="s">
        <v>5636</v>
      </c>
      <c r="K1629" s="17" t="str">
        <f>HYPERLINK("http://ictvonline.org/taxonomyHistory.asp?taxnode_id=20172839","ICTVonline=20172839")</f>
        <v>ICTVonline=20172839</v>
      </c>
      <c r="L1629" s="3">
        <v>1628</v>
      </c>
    </row>
    <row r="1630" spans="1:12" x14ac:dyDescent="0.15">
      <c r="A1630" s="1" t="s">
        <v>5629</v>
      </c>
      <c r="B1630" s="1" t="s">
        <v>2032</v>
      </c>
      <c r="D1630" s="1" t="s">
        <v>2033</v>
      </c>
      <c r="E1630" s="1" t="s">
        <v>3891</v>
      </c>
      <c r="F1630" s="3">
        <v>0</v>
      </c>
      <c r="G1630" s="8" t="s">
        <v>3888</v>
      </c>
      <c r="H1630" s="8" t="s">
        <v>5161</v>
      </c>
      <c r="I1630" s="3">
        <v>32</v>
      </c>
      <c r="J1630" s="3" t="s">
        <v>5636</v>
      </c>
      <c r="K1630" s="17" t="str">
        <f>HYPERLINK("http://ictvonline.org/taxonomyHistory.asp?taxnode_id=20172840","ICTVonline=20172840")</f>
        <v>ICTVonline=20172840</v>
      </c>
      <c r="L1630" s="3">
        <v>1629</v>
      </c>
    </row>
    <row r="1631" spans="1:12" x14ac:dyDescent="0.15">
      <c r="A1631" s="1" t="s">
        <v>5629</v>
      </c>
      <c r="B1631" s="1" t="s">
        <v>2032</v>
      </c>
      <c r="D1631" s="1" t="s">
        <v>2033</v>
      </c>
      <c r="E1631" s="1" t="s">
        <v>81</v>
      </c>
      <c r="F1631" s="3">
        <v>0</v>
      </c>
      <c r="G1631" s="8" t="s">
        <v>3888</v>
      </c>
      <c r="H1631" s="8" t="s">
        <v>5161</v>
      </c>
      <c r="I1631" s="3">
        <v>32</v>
      </c>
      <c r="J1631" s="3" t="s">
        <v>5636</v>
      </c>
      <c r="K1631" s="17" t="str">
        <f>HYPERLINK("http://ictvonline.org/taxonomyHistory.asp?taxnode_id=20172841","ICTVonline=20172841")</f>
        <v>ICTVonline=20172841</v>
      </c>
      <c r="L1631" s="3">
        <v>1630</v>
      </c>
    </row>
    <row r="1632" spans="1:12" x14ac:dyDescent="0.15">
      <c r="A1632" s="1" t="s">
        <v>5629</v>
      </c>
      <c r="B1632" s="1" t="s">
        <v>2032</v>
      </c>
      <c r="D1632" s="1" t="s">
        <v>2033</v>
      </c>
      <c r="E1632" s="1" t="s">
        <v>5643</v>
      </c>
      <c r="F1632" s="3">
        <v>0</v>
      </c>
      <c r="G1632" s="8" t="s">
        <v>3888</v>
      </c>
      <c r="H1632" s="8" t="s">
        <v>5161</v>
      </c>
      <c r="I1632" s="3">
        <v>32</v>
      </c>
      <c r="J1632" s="3" t="s">
        <v>5636</v>
      </c>
      <c r="K1632" s="17" t="str">
        <f>HYPERLINK("http://ictvonline.org/taxonomyHistory.asp?taxnode_id=20172842","ICTVonline=20172842")</f>
        <v>ICTVonline=20172842</v>
      </c>
      <c r="L1632" s="3">
        <v>1631</v>
      </c>
    </row>
    <row r="1633" spans="1:12" x14ac:dyDescent="0.15">
      <c r="A1633" s="1" t="s">
        <v>5629</v>
      </c>
      <c r="B1633" s="1" t="s">
        <v>2032</v>
      </c>
      <c r="D1633" s="1" t="s">
        <v>2033</v>
      </c>
      <c r="E1633" s="1" t="s">
        <v>4872</v>
      </c>
      <c r="F1633" s="3">
        <v>0</v>
      </c>
      <c r="G1633" s="8" t="s">
        <v>3888</v>
      </c>
      <c r="H1633" s="8" t="s">
        <v>5161</v>
      </c>
      <c r="I1633" s="3">
        <v>32</v>
      </c>
      <c r="J1633" s="3" t="s">
        <v>5636</v>
      </c>
      <c r="K1633" s="17" t="str">
        <f>HYPERLINK("http://ictvonline.org/taxonomyHistory.asp?taxnode_id=20172843","ICTVonline=20172843")</f>
        <v>ICTVonline=20172843</v>
      </c>
      <c r="L1633" s="3">
        <v>1632</v>
      </c>
    </row>
    <row r="1634" spans="1:12" x14ac:dyDescent="0.15">
      <c r="A1634" s="1" t="s">
        <v>5629</v>
      </c>
      <c r="B1634" s="1" t="s">
        <v>2032</v>
      </c>
      <c r="D1634" s="1" t="s">
        <v>2033</v>
      </c>
      <c r="E1634" s="1" t="s">
        <v>2702</v>
      </c>
      <c r="F1634" s="3">
        <v>0</v>
      </c>
      <c r="G1634" s="8" t="s">
        <v>3888</v>
      </c>
      <c r="H1634" s="8" t="s">
        <v>5161</v>
      </c>
      <c r="I1634" s="3">
        <v>32</v>
      </c>
      <c r="J1634" s="3" t="s">
        <v>5636</v>
      </c>
      <c r="K1634" s="17" t="str">
        <f>HYPERLINK("http://ictvonline.org/taxonomyHistory.asp?taxnode_id=20172844","ICTVonline=20172844")</f>
        <v>ICTVonline=20172844</v>
      </c>
      <c r="L1634" s="3">
        <v>1633</v>
      </c>
    </row>
    <row r="1635" spans="1:12" x14ac:dyDescent="0.15">
      <c r="A1635" s="1" t="s">
        <v>5629</v>
      </c>
      <c r="B1635" s="1" t="s">
        <v>2032</v>
      </c>
      <c r="D1635" s="1" t="s">
        <v>2033</v>
      </c>
      <c r="E1635" s="1" t="s">
        <v>82</v>
      </c>
      <c r="F1635" s="3">
        <v>0</v>
      </c>
      <c r="G1635" s="8" t="s">
        <v>3888</v>
      </c>
      <c r="H1635" s="8" t="s">
        <v>5161</v>
      </c>
      <c r="I1635" s="3">
        <v>32</v>
      </c>
      <c r="J1635" s="3" t="s">
        <v>5636</v>
      </c>
      <c r="K1635" s="17" t="str">
        <f>HYPERLINK("http://ictvonline.org/taxonomyHistory.asp?taxnode_id=20172845","ICTVonline=20172845")</f>
        <v>ICTVonline=20172845</v>
      </c>
      <c r="L1635" s="3">
        <v>1634</v>
      </c>
    </row>
    <row r="1636" spans="1:12" x14ac:dyDescent="0.15">
      <c r="A1636" s="1" t="s">
        <v>5629</v>
      </c>
      <c r="B1636" s="1" t="s">
        <v>2032</v>
      </c>
      <c r="D1636" s="1" t="s">
        <v>2033</v>
      </c>
      <c r="E1636" s="1" t="s">
        <v>83</v>
      </c>
      <c r="F1636" s="3">
        <v>0</v>
      </c>
      <c r="G1636" s="8" t="s">
        <v>3888</v>
      </c>
      <c r="H1636" s="8" t="s">
        <v>5161</v>
      </c>
      <c r="I1636" s="3">
        <v>32</v>
      </c>
      <c r="J1636" s="3" t="s">
        <v>5636</v>
      </c>
      <c r="K1636" s="17" t="str">
        <f>HYPERLINK("http://ictvonline.org/taxonomyHistory.asp?taxnode_id=20172846","ICTVonline=20172846")</f>
        <v>ICTVonline=20172846</v>
      </c>
      <c r="L1636" s="3">
        <v>1635</v>
      </c>
    </row>
    <row r="1637" spans="1:12" x14ac:dyDescent="0.15">
      <c r="A1637" s="1" t="s">
        <v>5629</v>
      </c>
      <c r="B1637" s="1" t="s">
        <v>2032</v>
      </c>
      <c r="D1637" s="1" t="s">
        <v>2033</v>
      </c>
      <c r="E1637" s="1" t="s">
        <v>2044</v>
      </c>
      <c r="F1637" s="3">
        <v>0</v>
      </c>
      <c r="G1637" s="8" t="s">
        <v>3888</v>
      </c>
      <c r="H1637" s="8" t="s">
        <v>5161</v>
      </c>
      <c r="I1637" s="3">
        <v>32</v>
      </c>
      <c r="J1637" s="3" t="s">
        <v>5636</v>
      </c>
      <c r="K1637" s="17" t="str">
        <f>HYPERLINK("http://ictvonline.org/taxonomyHistory.asp?taxnode_id=20172847","ICTVonline=20172847")</f>
        <v>ICTVonline=20172847</v>
      </c>
      <c r="L1637" s="3">
        <v>1636</v>
      </c>
    </row>
    <row r="1638" spans="1:12" x14ac:dyDescent="0.15">
      <c r="A1638" s="1" t="s">
        <v>5629</v>
      </c>
      <c r="B1638" s="1" t="s">
        <v>2032</v>
      </c>
      <c r="D1638" s="1" t="s">
        <v>2033</v>
      </c>
      <c r="E1638" s="1" t="s">
        <v>2045</v>
      </c>
      <c r="F1638" s="3">
        <v>0</v>
      </c>
      <c r="G1638" s="8" t="s">
        <v>3888</v>
      </c>
      <c r="H1638" s="8" t="s">
        <v>5161</v>
      </c>
      <c r="I1638" s="3">
        <v>32</v>
      </c>
      <c r="J1638" s="3" t="s">
        <v>5636</v>
      </c>
      <c r="K1638" s="17" t="str">
        <f>HYPERLINK("http://ictvonline.org/taxonomyHistory.asp?taxnode_id=20172848","ICTVonline=20172848")</f>
        <v>ICTVonline=20172848</v>
      </c>
      <c r="L1638" s="3">
        <v>1637</v>
      </c>
    </row>
    <row r="1639" spans="1:12" x14ac:dyDescent="0.15">
      <c r="A1639" s="1" t="s">
        <v>5629</v>
      </c>
      <c r="B1639" s="1" t="s">
        <v>2032</v>
      </c>
      <c r="D1639" s="1" t="s">
        <v>2033</v>
      </c>
      <c r="E1639" s="1" t="s">
        <v>2046</v>
      </c>
      <c r="F1639" s="3">
        <v>0</v>
      </c>
      <c r="G1639" s="8" t="s">
        <v>3888</v>
      </c>
      <c r="H1639" s="8" t="s">
        <v>5161</v>
      </c>
      <c r="I1639" s="3">
        <v>32</v>
      </c>
      <c r="J1639" s="3" t="s">
        <v>5636</v>
      </c>
      <c r="K1639" s="17" t="str">
        <f>HYPERLINK("http://ictvonline.org/taxonomyHistory.asp?taxnode_id=20172849","ICTVonline=20172849")</f>
        <v>ICTVonline=20172849</v>
      </c>
      <c r="L1639" s="3">
        <v>1638</v>
      </c>
    </row>
    <row r="1640" spans="1:12" x14ac:dyDescent="0.15">
      <c r="A1640" s="1" t="s">
        <v>5629</v>
      </c>
      <c r="B1640" s="1" t="s">
        <v>2032</v>
      </c>
      <c r="D1640" s="1" t="s">
        <v>2033</v>
      </c>
      <c r="E1640" s="1" t="s">
        <v>2783</v>
      </c>
      <c r="F1640" s="3">
        <v>0</v>
      </c>
      <c r="G1640" s="8" t="s">
        <v>3888</v>
      </c>
      <c r="H1640" s="8" t="s">
        <v>5161</v>
      </c>
      <c r="I1640" s="3">
        <v>32</v>
      </c>
      <c r="J1640" s="3" t="s">
        <v>5636</v>
      </c>
      <c r="K1640" s="17" t="str">
        <f>HYPERLINK("http://ictvonline.org/taxonomyHistory.asp?taxnode_id=20172850","ICTVonline=20172850")</f>
        <v>ICTVonline=20172850</v>
      </c>
      <c r="L1640" s="3">
        <v>1639</v>
      </c>
    </row>
    <row r="1641" spans="1:12" x14ac:dyDescent="0.15">
      <c r="A1641" s="1" t="s">
        <v>5629</v>
      </c>
      <c r="B1641" s="1" t="s">
        <v>2032</v>
      </c>
      <c r="D1641" s="1" t="s">
        <v>2033</v>
      </c>
      <c r="E1641" s="1" t="s">
        <v>3892</v>
      </c>
      <c r="F1641" s="3">
        <v>0</v>
      </c>
      <c r="G1641" s="8" t="s">
        <v>3888</v>
      </c>
      <c r="H1641" s="8" t="s">
        <v>5161</v>
      </c>
      <c r="I1641" s="3">
        <v>32</v>
      </c>
      <c r="J1641" s="3" t="s">
        <v>5636</v>
      </c>
      <c r="K1641" s="17" t="str">
        <f>HYPERLINK("http://ictvonline.org/taxonomyHistory.asp?taxnode_id=20172851","ICTVonline=20172851")</f>
        <v>ICTVonline=20172851</v>
      </c>
      <c r="L1641" s="3">
        <v>1640</v>
      </c>
    </row>
    <row r="1642" spans="1:12" x14ac:dyDescent="0.15">
      <c r="A1642" s="1" t="s">
        <v>5629</v>
      </c>
      <c r="B1642" s="1" t="s">
        <v>2032</v>
      </c>
      <c r="D1642" s="1" t="s">
        <v>2033</v>
      </c>
      <c r="E1642" s="1" t="s">
        <v>3893</v>
      </c>
      <c r="F1642" s="3">
        <v>0</v>
      </c>
      <c r="G1642" s="8" t="s">
        <v>3888</v>
      </c>
      <c r="H1642" s="8" t="s">
        <v>5161</v>
      </c>
      <c r="I1642" s="3">
        <v>32</v>
      </c>
      <c r="J1642" s="3" t="s">
        <v>5636</v>
      </c>
      <c r="K1642" s="17" t="str">
        <f>HYPERLINK("http://ictvonline.org/taxonomyHistory.asp?taxnode_id=20172852","ICTVonline=20172852")</f>
        <v>ICTVonline=20172852</v>
      </c>
      <c r="L1642" s="3">
        <v>1641</v>
      </c>
    </row>
    <row r="1643" spans="1:12" x14ac:dyDescent="0.15">
      <c r="A1643" s="1" t="s">
        <v>5629</v>
      </c>
      <c r="B1643" s="1" t="s">
        <v>2032</v>
      </c>
      <c r="D1643" s="1" t="s">
        <v>2033</v>
      </c>
      <c r="E1643" s="1" t="s">
        <v>2041</v>
      </c>
      <c r="F1643" s="3">
        <v>0</v>
      </c>
      <c r="G1643" s="8" t="s">
        <v>3888</v>
      </c>
      <c r="H1643" s="8" t="s">
        <v>5161</v>
      </c>
      <c r="I1643" s="3">
        <v>32</v>
      </c>
      <c r="J1643" s="3" t="s">
        <v>5636</v>
      </c>
      <c r="K1643" s="17" t="str">
        <f>HYPERLINK("http://ictvonline.org/taxonomyHistory.asp?taxnode_id=20172853","ICTVonline=20172853")</f>
        <v>ICTVonline=20172853</v>
      </c>
      <c r="L1643" s="3">
        <v>1642</v>
      </c>
    </row>
    <row r="1644" spans="1:12" x14ac:dyDescent="0.15">
      <c r="A1644" s="1" t="s">
        <v>5629</v>
      </c>
      <c r="B1644" s="1" t="s">
        <v>2032</v>
      </c>
      <c r="D1644" s="1" t="s">
        <v>2033</v>
      </c>
      <c r="E1644" s="1" t="s">
        <v>84</v>
      </c>
      <c r="F1644" s="3">
        <v>0</v>
      </c>
      <c r="G1644" s="8" t="s">
        <v>3888</v>
      </c>
      <c r="H1644" s="8" t="s">
        <v>5161</v>
      </c>
      <c r="I1644" s="3">
        <v>32</v>
      </c>
      <c r="J1644" s="3" t="s">
        <v>5636</v>
      </c>
      <c r="K1644" s="17" t="str">
        <f>HYPERLINK("http://ictvonline.org/taxonomyHistory.asp?taxnode_id=20172854","ICTVonline=20172854")</f>
        <v>ICTVonline=20172854</v>
      </c>
      <c r="L1644" s="3">
        <v>1643</v>
      </c>
    </row>
    <row r="1645" spans="1:12" x14ac:dyDescent="0.15">
      <c r="A1645" s="1" t="s">
        <v>5629</v>
      </c>
      <c r="B1645" s="1" t="s">
        <v>2032</v>
      </c>
      <c r="D1645" s="1" t="s">
        <v>2033</v>
      </c>
      <c r="E1645" s="1" t="s">
        <v>85</v>
      </c>
      <c r="F1645" s="3">
        <v>0</v>
      </c>
      <c r="G1645" s="8" t="s">
        <v>3888</v>
      </c>
      <c r="H1645" s="8" t="s">
        <v>5161</v>
      </c>
      <c r="I1645" s="3">
        <v>32</v>
      </c>
      <c r="J1645" s="3" t="s">
        <v>5636</v>
      </c>
      <c r="K1645" s="17" t="str">
        <f>HYPERLINK("http://ictvonline.org/taxonomyHistory.asp?taxnode_id=20172855","ICTVonline=20172855")</f>
        <v>ICTVonline=20172855</v>
      </c>
      <c r="L1645" s="3">
        <v>1644</v>
      </c>
    </row>
    <row r="1646" spans="1:12" x14ac:dyDescent="0.15">
      <c r="A1646" s="1" t="s">
        <v>5629</v>
      </c>
      <c r="B1646" s="1" t="s">
        <v>2032</v>
      </c>
      <c r="D1646" s="1" t="s">
        <v>2033</v>
      </c>
      <c r="E1646" s="1" t="s">
        <v>4873</v>
      </c>
      <c r="F1646" s="3">
        <v>0</v>
      </c>
      <c r="G1646" s="8" t="s">
        <v>3888</v>
      </c>
      <c r="H1646" s="8" t="s">
        <v>5161</v>
      </c>
      <c r="I1646" s="3">
        <v>32</v>
      </c>
      <c r="J1646" s="3" t="s">
        <v>5636</v>
      </c>
      <c r="K1646" s="17" t="str">
        <f>HYPERLINK("http://ictvonline.org/taxonomyHistory.asp?taxnode_id=20172856","ICTVonline=20172856")</f>
        <v>ICTVonline=20172856</v>
      </c>
      <c r="L1646" s="3">
        <v>1645</v>
      </c>
    </row>
    <row r="1647" spans="1:12" x14ac:dyDescent="0.15">
      <c r="A1647" s="1" t="s">
        <v>5629</v>
      </c>
      <c r="B1647" s="1" t="s">
        <v>2032</v>
      </c>
      <c r="D1647" s="1" t="s">
        <v>2033</v>
      </c>
      <c r="E1647" s="1" t="s">
        <v>2042</v>
      </c>
      <c r="F1647" s="3">
        <v>0</v>
      </c>
      <c r="G1647" s="8" t="s">
        <v>3888</v>
      </c>
      <c r="H1647" s="8" t="s">
        <v>5161</v>
      </c>
      <c r="I1647" s="3">
        <v>32</v>
      </c>
      <c r="J1647" s="3" t="s">
        <v>5636</v>
      </c>
      <c r="K1647" s="17" t="str">
        <f>HYPERLINK("http://ictvonline.org/taxonomyHistory.asp?taxnode_id=20172857","ICTVonline=20172857")</f>
        <v>ICTVonline=20172857</v>
      </c>
      <c r="L1647" s="3">
        <v>1646</v>
      </c>
    </row>
    <row r="1648" spans="1:12" x14ac:dyDescent="0.15">
      <c r="A1648" s="1" t="s">
        <v>5629</v>
      </c>
      <c r="B1648" s="1" t="s">
        <v>2032</v>
      </c>
      <c r="D1648" s="1" t="s">
        <v>2033</v>
      </c>
      <c r="E1648" s="1" t="s">
        <v>5644</v>
      </c>
      <c r="F1648" s="3">
        <v>0</v>
      </c>
      <c r="G1648" s="8" t="s">
        <v>3888</v>
      </c>
      <c r="H1648" s="8" t="s">
        <v>5159</v>
      </c>
      <c r="I1648" s="3">
        <v>32</v>
      </c>
      <c r="J1648" s="3" t="s">
        <v>5638</v>
      </c>
      <c r="K1648" s="17" t="str">
        <f>HYPERLINK("http://ictvonline.org/taxonomyHistory.asp?taxnode_id=20175766","ICTVonline=20175766")</f>
        <v>ICTVonline=20175766</v>
      </c>
      <c r="L1648" s="3">
        <v>1647</v>
      </c>
    </row>
    <row r="1649" spans="1:12" x14ac:dyDescent="0.15">
      <c r="A1649" s="1" t="s">
        <v>5629</v>
      </c>
      <c r="B1649" s="1" t="s">
        <v>2032</v>
      </c>
      <c r="D1649" s="1" t="s">
        <v>2033</v>
      </c>
      <c r="E1649" s="1" t="s">
        <v>4874</v>
      </c>
      <c r="F1649" s="3">
        <v>0</v>
      </c>
      <c r="G1649" s="8" t="s">
        <v>3888</v>
      </c>
      <c r="H1649" s="8" t="s">
        <v>5161</v>
      </c>
      <c r="I1649" s="3">
        <v>32</v>
      </c>
      <c r="J1649" s="3" t="s">
        <v>5636</v>
      </c>
      <c r="K1649" s="17" t="str">
        <f>HYPERLINK("http://ictvonline.org/taxonomyHistory.asp?taxnode_id=20172858","ICTVonline=20172858")</f>
        <v>ICTVonline=20172858</v>
      </c>
      <c r="L1649" s="3">
        <v>1648</v>
      </c>
    </row>
    <row r="1650" spans="1:12" x14ac:dyDescent="0.15">
      <c r="A1650" s="1" t="s">
        <v>5629</v>
      </c>
      <c r="B1650" s="1" t="s">
        <v>2032</v>
      </c>
      <c r="D1650" s="1" t="s">
        <v>2151</v>
      </c>
      <c r="E1650" s="1" t="s">
        <v>4875</v>
      </c>
      <c r="F1650" s="3">
        <v>0</v>
      </c>
      <c r="G1650" s="8" t="s">
        <v>3888</v>
      </c>
      <c r="H1650" s="8" t="s">
        <v>5161</v>
      </c>
      <c r="I1650" s="3">
        <v>32</v>
      </c>
      <c r="J1650" s="3" t="s">
        <v>5636</v>
      </c>
      <c r="K1650" s="17" t="str">
        <f>HYPERLINK("http://ictvonline.org/taxonomyHistory.asp?taxnode_id=20172860","ICTVonline=20172860")</f>
        <v>ICTVonline=20172860</v>
      </c>
      <c r="L1650" s="3">
        <v>1649</v>
      </c>
    </row>
    <row r="1651" spans="1:12" x14ac:dyDescent="0.15">
      <c r="A1651" s="1" t="s">
        <v>5629</v>
      </c>
      <c r="B1651" s="1" t="s">
        <v>2032</v>
      </c>
      <c r="D1651" s="1" t="s">
        <v>2151</v>
      </c>
      <c r="E1651" s="1" t="s">
        <v>1959</v>
      </c>
      <c r="F1651" s="3">
        <v>0</v>
      </c>
      <c r="G1651" s="8" t="s">
        <v>3888</v>
      </c>
      <c r="H1651" s="8" t="s">
        <v>5161</v>
      </c>
      <c r="I1651" s="3">
        <v>32</v>
      </c>
      <c r="J1651" s="3" t="s">
        <v>5636</v>
      </c>
      <c r="K1651" s="17" t="str">
        <f>HYPERLINK("http://ictvonline.org/taxonomyHistory.asp?taxnode_id=20172861","ICTVonline=20172861")</f>
        <v>ICTVonline=20172861</v>
      </c>
      <c r="L1651" s="3">
        <v>1650</v>
      </c>
    </row>
    <row r="1652" spans="1:12" x14ac:dyDescent="0.15">
      <c r="A1652" s="1" t="s">
        <v>5629</v>
      </c>
      <c r="B1652" s="1" t="s">
        <v>2032</v>
      </c>
      <c r="D1652" s="1" t="s">
        <v>2151</v>
      </c>
      <c r="E1652" s="1" t="s">
        <v>1960</v>
      </c>
      <c r="F1652" s="3">
        <v>1</v>
      </c>
      <c r="G1652" s="8" t="s">
        <v>3888</v>
      </c>
      <c r="H1652" s="8" t="s">
        <v>5161</v>
      </c>
      <c r="I1652" s="3">
        <v>32</v>
      </c>
      <c r="J1652" s="3" t="s">
        <v>5636</v>
      </c>
      <c r="K1652" s="17" t="str">
        <f>HYPERLINK("http://ictvonline.org/taxonomyHistory.asp?taxnode_id=20172862","ICTVonline=20172862")</f>
        <v>ICTVonline=20172862</v>
      </c>
      <c r="L1652" s="3">
        <v>1651</v>
      </c>
    </row>
    <row r="1653" spans="1:12" x14ac:dyDescent="0.15">
      <c r="A1653" s="1" t="s">
        <v>5629</v>
      </c>
      <c r="B1653" s="1" t="s">
        <v>2032</v>
      </c>
      <c r="D1653" s="1" t="s">
        <v>2151</v>
      </c>
      <c r="E1653" s="1" t="s">
        <v>2055</v>
      </c>
      <c r="F1653" s="3">
        <v>0</v>
      </c>
      <c r="G1653" s="8" t="s">
        <v>3888</v>
      </c>
      <c r="H1653" s="8" t="s">
        <v>5161</v>
      </c>
      <c r="I1653" s="3">
        <v>32</v>
      </c>
      <c r="J1653" s="3" t="s">
        <v>5636</v>
      </c>
      <c r="K1653" s="17" t="str">
        <f>HYPERLINK("http://ictvonline.org/taxonomyHistory.asp?taxnode_id=20172863","ICTVonline=20172863")</f>
        <v>ICTVonline=20172863</v>
      </c>
      <c r="L1653" s="3">
        <v>1652</v>
      </c>
    </row>
    <row r="1654" spans="1:12" x14ac:dyDescent="0.15">
      <c r="A1654" s="1" t="s">
        <v>5629</v>
      </c>
      <c r="B1654" s="1" t="s">
        <v>2032</v>
      </c>
      <c r="D1654" s="1" t="s">
        <v>2151</v>
      </c>
      <c r="E1654" s="1" t="s">
        <v>1792</v>
      </c>
      <c r="F1654" s="3">
        <v>0</v>
      </c>
      <c r="G1654" s="8" t="s">
        <v>3888</v>
      </c>
      <c r="H1654" s="8" t="s">
        <v>5161</v>
      </c>
      <c r="I1654" s="3">
        <v>32</v>
      </c>
      <c r="J1654" s="3" t="s">
        <v>5636</v>
      </c>
      <c r="K1654" s="17" t="str">
        <f>HYPERLINK("http://ictvonline.org/taxonomyHistory.asp?taxnode_id=20172864","ICTVonline=20172864")</f>
        <v>ICTVonline=20172864</v>
      </c>
      <c r="L1654" s="3">
        <v>1653</v>
      </c>
    </row>
    <row r="1655" spans="1:12" x14ac:dyDescent="0.15">
      <c r="A1655" s="1" t="s">
        <v>5629</v>
      </c>
      <c r="B1655" s="1" t="s">
        <v>2032</v>
      </c>
      <c r="D1655" s="1" t="s">
        <v>2151</v>
      </c>
      <c r="E1655" s="1" t="s">
        <v>1793</v>
      </c>
      <c r="F1655" s="3">
        <v>0</v>
      </c>
      <c r="G1655" s="8" t="s">
        <v>3888</v>
      </c>
      <c r="H1655" s="8" t="s">
        <v>5161</v>
      </c>
      <c r="I1655" s="3">
        <v>32</v>
      </c>
      <c r="J1655" s="3" t="s">
        <v>5636</v>
      </c>
      <c r="K1655" s="17" t="str">
        <f>HYPERLINK("http://ictvonline.org/taxonomyHistory.asp?taxnode_id=20172865","ICTVonline=20172865")</f>
        <v>ICTVonline=20172865</v>
      </c>
      <c r="L1655" s="3">
        <v>1654</v>
      </c>
    </row>
    <row r="1656" spans="1:12" x14ac:dyDescent="0.15">
      <c r="A1656" s="1" t="s">
        <v>5629</v>
      </c>
      <c r="B1656" s="1" t="s">
        <v>2032</v>
      </c>
      <c r="D1656" s="1" t="s">
        <v>2151</v>
      </c>
      <c r="E1656" s="1" t="s">
        <v>86</v>
      </c>
      <c r="F1656" s="3">
        <v>0</v>
      </c>
      <c r="G1656" s="8" t="s">
        <v>3888</v>
      </c>
      <c r="H1656" s="8" t="s">
        <v>5161</v>
      </c>
      <c r="I1656" s="3">
        <v>32</v>
      </c>
      <c r="J1656" s="3" t="s">
        <v>5636</v>
      </c>
      <c r="K1656" s="17" t="str">
        <f>HYPERLINK("http://ictvonline.org/taxonomyHistory.asp?taxnode_id=20172866","ICTVonline=20172866")</f>
        <v>ICTVonline=20172866</v>
      </c>
      <c r="L1656" s="3">
        <v>1655</v>
      </c>
    </row>
    <row r="1657" spans="1:12" x14ac:dyDescent="0.15">
      <c r="A1657" s="1" t="s">
        <v>5629</v>
      </c>
      <c r="B1657" s="1" t="s">
        <v>2032</v>
      </c>
      <c r="D1657" s="1" t="s">
        <v>2151</v>
      </c>
      <c r="E1657" s="1" t="s">
        <v>742</v>
      </c>
      <c r="F1657" s="3">
        <v>0</v>
      </c>
      <c r="G1657" s="8" t="s">
        <v>3888</v>
      </c>
      <c r="H1657" s="8" t="s">
        <v>5161</v>
      </c>
      <c r="I1657" s="3">
        <v>32</v>
      </c>
      <c r="J1657" s="3" t="s">
        <v>5636</v>
      </c>
      <c r="K1657" s="17" t="str">
        <f>HYPERLINK("http://ictvonline.org/taxonomyHistory.asp?taxnode_id=20172867","ICTVonline=20172867")</f>
        <v>ICTVonline=20172867</v>
      </c>
      <c r="L1657" s="3">
        <v>1656</v>
      </c>
    </row>
    <row r="1658" spans="1:12" x14ac:dyDescent="0.15">
      <c r="A1658" s="1" t="s">
        <v>5629</v>
      </c>
      <c r="B1658" s="1" t="s">
        <v>2032</v>
      </c>
      <c r="D1658" s="1" t="s">
        <v>2151</v>
      </c>
      <c r="E1658" s="1" t="s">
        <v>2703</v>
      </c>
      <c r="F1658" s="3">
        <v>0</v>
      </c>
      <c r="G1658" s="8" t="s">
        <v>3888</v>
      </c>
      <c r="H1658" s="8" t="s">
        <v>5161</v>
      </c>
      <c r="I1658" s="3">
        <v>32</v>
      </c>
      <c r="J1658" s="3" t="s">
        <v>5636</v>
      </c>
      <c r="K1658" s="17" t="str">
        <f>HYPERLINK("http://ictvonline.org/taxonomyHistory.asp?taxnode_id=20172868","ICTVonline=20172868")</f>
        <v>ICTVonline=20172868</v>
      </c>
      <c r="L1658" s="3">
        <v>1657</v>
      </c>
    </row>
    <row r="1659" spans="1:12" x14ac:dyDescent="0.15">
      <c r="A1659" s="1" t="s">
        <v>5629</v>
      </c>
      <c r="B1659" s="1" t="s">
        <v>2032</v>
      </c>
      <c r="D1659" s="1" t="s">
        <v>2151</v>
      </c>
      <c r="E1659" s="1" t="s">
        <v>743</v>
      </c>
      <c r="F1659" s="3">
        <v>0</v>
      </c>
      <c r="G1659" s="8" t="s">
        <v>3888</v>
      </c>
      <c r="H1659" s="8" t="s">
        <v>5161</v>
      </c>
      <c r="I1659" s="3">
        <v>32</v>
      </c>
      <c r="J1659" s="3" t="s">
        <v>5636</v>
      </c>
      <c r="K1659" s="17" t="str">
        <f>HYPERLINK("http://ictvonline.org/taxonomyHistory.asp?taxnode_id=20172869","ICTVonline=20172869")</f>
        <v>ICTVonline=20172869</v>
      </c>
      <c r="L1659" s="3">
        <v>1658</v>
      </c>
    </row>
    <row r="1660" spans="1:12" x14ac:dyDescent="0.15">
      <c r="A1660" s="1" t="s">
        <v>5629</v>
      </c>
      <c r="B1660" s="1" t="s">
        <v>2032</v>
      </c>
      <c r="D1660" s="1" t="s">
        <v>2151</v>
      </c>
      <c r="E1660" s="1" t="s">
        <v>744</v>
      </c>
      <c r="F1660" s="3">
        <v>0</v>
      </c>
      <c r="G1660" s="8" t="s">
        <v>3888</v>
      </c>
      <c r="H1660" s="8" t="s">
        <v>5161</v>
      </c>
      <c r="I1660" s="3">
        <v>32</v>
      </c>
      <c r="J1660" s="3" t="s">
        <v>5636</v>
      </c>
      <c r="K1660" s="17" t="str">
        <f>HYPERLINK("http://ictvonline.org/taxonomyHistory.asp?taxnode_id=20172870","ICTVonline=20172870")</f>
        <v>ICTVonline=20172870</v>
      </c>
      <c r="L1660" s="3">
        <v>1659</v>
      </c>
    </row>
    <row r="1661" spans="1:12" x14ac:dyDescent="0.15">
      <c r="A1661" s="1" t="s">
        <v>5629</v>
      </c>
      <c r="B1661" s="1" t="s">
        <v>2032</v>
      </c>
      <c r="D1661" s="1" t="s">
        <v>745</v>
      </c>
      <c r="E1661" s="1" t="s">
        <v>746</v>
      </c>
      <c r="F1661" s="3">
        <v>1</v>
      </c>
      <c r="G1661" s="8" t="s">
        <v>3888</v>
      </c>
      <c r="H1661" s="8" t="s">
        <v>5161</v>
      </c>
      <c r="I1661" s="3">
        <v>32</v>
      </c>
      <c r="J1661" s="3" t="s">
        <v>5636</v>
      </c>
      <c r="K1661" s="17" t="str">
        <f>HYPERLINK("http://ictvonline.org/taxonomyHistory.asp?taxnode_id=20172872","ICTVonline=20172872")</f>
        <v>ICTVonline=20172872</v>
      </c>
      <c r="L1661" s="3">
        <v>1660</v>
      </c>
    </row>
    <row r="1662" spans="1:12" x14ac:dyDescent="0.15">
      <c r="A1662" s="1" t="s">
        <v>5629</v>
      </c>
      <c r="B1662" s="1" t="s">
        <v>2032</v>
      </c>
      <c r="D1662" s="1" t="s">
        <v>745</v>
      </c>
      <c r="E1662" s="1" t="s">
        <v>1739</v>
      </c>
      <c r="F1662" s="3">
        <v>0</v>
      </c>
      <c r="G1662" s="8" t="s">
        <v>3888</v>
      </c>
      <c r="H1662" s="8" t="s">
        <v>5161</v>
      </c>
      <c r="I1662" s="3">
        <v>32</v>
      </c>
      <c r="J1662" s="3" t="s">
        <v>5636</v>
      </c>
      <c r="K1662" s="17" t="str">
        <f>HYPERLINK("http://ictvonline.org/taxonomyHistory.asp?taxnode_id=20172873","ICTVonline=20172873")</f>
        <v>ICTVonline=20172873</v>
      </c>
      <c r="L1662" s="3">
        <v>1661</v>
      </c>
    </row>
    <row r="1663" spans="1:12" x14ac:dyDescent="0.15">
      <c r="A1663" s="1" t="s">
        <v>5629</v>
      </c>
      <c r="B1663" s="1" t="s">
        <v>2032</v>
      </c>
      <c r="D1663" s="1" t="s">
        <v>748</v>
      </c>
      <c r="E1663" s="1" t="s">
        <v>1209</v>
      </c>
      <c r="F1663" s="3">
        <v>1</v>
      </c>
      <c r="G1663" s="8" t="s">
        <v>3888</v>
      </c>
      <c r="H1663" s="8" t="s">
        <v>5161</v>
      </c>
      <c r="I1663" s="3">
        <v>32</v>
      </c>
      <c r="J1663" s="3" t="s">
        <v>5636</v>
      </c>
      <c r="K1663" s="17" t="str">
        <f>HYPERLINK("http://ictvonline.org/taxonomyHistory.asp?taxnode_id=20172875","ICTVonline=20172875")</f>
        <v>ICTVonline=20172875</v>
      </c>
      <c r="L1663" s="3">
        <v>1662</v>
      </c>
    </row>
    <row r="1664" spans="1:12" x14ac:dyDescent="0.15">
      <c r="A1664" s="1" t="s">
        <v>5629</v>
      </c>
      <c r="B1664" s="1" t="s">
        <v>2032</v>
      </c>
      <c r="D1664" s="1" t="s">
        <v>2704</v>
      </c>
      <c r="E1664" s="1" t="s">
        <v>2705</v>
      </c>
      <c r="F1664" s="3">
        <v>1</v>
      </c>
      <c r="G1664" s="8" t="s">
        <v>3888</v>
      </c>
      <c r="H1664" s="8" t="s">
        <v>5161</v>
      </c>
      <c r="I1664" s="3">
        <v>32</v>
      </c>
      <c r="J1664" s="3" t="s">
        <v>5636</v>
      </c>
      <c r="K1664" s="17" t="str">
        <f>HYPERLINK("http://ictvonline.org/taxonomyHistory.asp?taxnode_id=20172877","ICTVonline=20172877")</f>
        <v>ICTVonline=20172877</v>
      </c>
      <c r="L1664" s="3">
        <v>1663</v>
      </c>
    </row>
    <row r="1665" spans="1:12" x14ac:dyDescent="0.15">
      <c r="A1665" s="1" t="s">
        <v>5629</v>
      </c>
      <c r="B1665" s="1" t="s">
        <v>2032</v>
      </c>
      <c r="D1665" s="1" t="s">
        <v>87</v>
      </c>
      <c r="E1665" s="1" t="s">
        <v>88</v>
      </c>
      <c r="F1665" s="3">
        <v>0</v>
      </c>
      <c r="G1665" s="8" t="s">
        <v>3888</v>
      </c>
      <c r="H1665" s="8" t="s">
        <v>5161</v>
      </c>
      <c r="I1665" s="3">
        <v>32</v>
      </c>
      <c r="J1665" s="3" t="s">
        <v>5636</v>
      </c>
      <c r="K1665" s="17" t="str">
        <f>HYPERLINK("http://ictvonline.org/taxonomyHistory.asp?taxnode_id=20172879","ICTVonline=20172879")</f>
        <v>ICTVonline=20172879</v>
      </c>
      <c r="L1665" s="3">
        <v>1664</v>
      </c>
    </row>
    <row r="1666" spans="1:12" x14ac:dyDescent="0.15">
      <c r="A1666" s="1" t="s">
        <v>5629</v>
      </c>
      <c r="B1666" s="1" t="s">
        <v>2032</v>
      </c>
      <c r="D1666" s="1" t="s">
        <v>87</v>
      </c>
      <c r="E1666" s="1" t="s">
        <v>747</v>
      </c>
      <c r="F1666" s="3">
        <v>1</v>
      </c>
      <c r="G1666" s="8" t="s">
        <v>3888</v>
      </c>
      <c r="H1666" s="8" t="s">
        <v>5161</v>
      </c>
      <c r="I1666" s="3">
        <v>32</v>
      </c>
      <c r="J1666" s="3" t="s">
        <v>5636</v>
      </c>
      <c r="K1666" s="17" t="str">
        <f>HYPERLINK("http://ictvonline.org/taxonomyHistory.asp?taxnode_id=20172880","ICTVonline=20172880")</f>
        <v>ICTVonline=20172880</v>
      </c>
      <c r="L1666" s="3">
        <v>1665</v>
      </c>
    </row>
    <row r="1667" spans="1:12" x14ac:dyDescent="0.15">
      <c r="A1667" s="1" t="s">
        <v>5629</v>
      </c>
      <c r="B1667" s="1" t="s">
        <v>2032</v>
      </c>
      <c r="D1667" s="1" t="s">
        <v>1210</v>
      </c>
      <c r="E1667" s="1" t="s">
        <v>1211</v>
      </c>
      <c r="F1667" s="3">
        <v>0</v>
      </c>
      <c r="G1667" s="8" t="s">
        <v>3888</v>
      </c>
      <c r="H1667" s="8" t="s">
        <v>5161</v>
      </c>
      <c r="I1667" s="3">
        <v>32</v>
      </c>
      <c r="J1667" s="3" t="s">
        <v>5636</v>
      </c>
      <c r="K1667" s="17" t="str">
        <f>HYPERLINK("http://ictvonline.org/taxonomyHistory.asp?taxnode_id=20172882","ICTVonline=20172882")</f>
        <v>ICTVonline=20172882</v>
      </c>
      <c r="L1667" s="3">
        <v>1666</v>
      </c>
    </row>
    <row r="1668" spans="1:12" x14ac:dyDescent="0.15">
      <c r="A1668" s="1" t="s">
        <v>5629</v>
      </c>
      <c r="B1668" s="1" t="s">
        <v>2032</v>
      </c>
      <c r="D1668" s="1" t="s">
        <v>1210</v>
      </c>
      <c r="E1668" s="1" t="s">
        <v>89</v>
      </c>
      <c r="F1668" s="3">
        <v>0</v>
      </c>
      <c r="G1668" s="8" t="s">
        <v>3888</v>
      </c>
      <c r="H1668" s="8" t="s">
        <v>5161</v>
      </c>
      <c r="I1668" s="3">
        <v>32</v>
      </c>
      <c r="J1668" s="3" t="s">
        <v>5636</v>
      </c>
      <c r="K1668" s="17" t="str">
        <f>HYPERLINK("http://ictvonline.org/taxonomyHistory.asp?taxnode_id=20172883","ICTVonline=20172883")</f>
        <v>ICTVonline=20172883</v>
      </c>
      <c r="L1668" s="3">
        <v>1667</v>
      </c>
    </row>
    <row r="1669" spans="1:12" x14ac:dyDescent="0.15">
      <c r="A1669" s="1" t="s">
        <v>5629</v>
      </c>
      <c r="B1669" s="1" t="s">
        <v>2032</v>
      </c>
      <c r="D1669" s="1" t="s">
        <v>1210</v>
      </c>
      <c r="E1669" s="1" t="s">
        <v>1212</v>
      </c>
      <c r="F1669" s="3">
        <v>0</v>
      </c>
      <c r="G1669" s="8" t="s">
        <v>3888</v>
      </c>
      <c r="H1669" s="8" t="s">
        <v>5161</v>
      </c>
      <c r="I1669" s="3">
        <v>32</v>
      </c>
      <c r="J1669" s="3" t="s">
        <v>5636</v>
      </c>
      <c r="K1669" s="17" t="str">
        <f>HYPERLINK("http://ictvonline.org/taxonomyHistory.asp?taxnode_id=20172884","ICTVonline=20172884")</f>
        <v>ICTVonline=20172884</v>
      </c>
      <c r="L1669" s="3">
        <v>1668</v>
      </c>
    </row>
    <row r="1670" spans="1:12" x14ac:dyDescent="0.15">
      <c r="A1670" s="1" t="s">
        <v>5629</v>
      </c>
      <c r="B1670" s="1" t="s">
        <v>2032</v>
      </c>
      <c r="D1670" s="1" t="s">
        <v>1210</v>
      </c>
      <c r="E1670" s="1" t="s">
        <v>1213</v>
      </c>
      <c r="F1670" s="3">
        <v>1</v>
      </c>
      <c r="G1670" s="8" t="s">
        <v>3888</v>
      </c>
      <c r="H1670" s="8" t="s">
        <v>5161</v>
      </c>
      <c r="I1670" s="3">
        <v>32</v>
      </c>
      <c r="J1670" s="3" t="s">
        <v>5636</v>
      </c>
      <c r="K1670" s="17" t="str">
        <f>HYPERLINK("http://ictvonline.org/taxonomyHistory.asp?taxnode_id=20172885","ICTVonline=20172885")</f>
        <v>ICTVonline=20172885</v>
      </c>
      <c r="L1670" s="3">
        <v>1669</v>
      </c>
    </row>
    <row r="1671" spans="1:12" x14ac:dyDescent="0.15">
      <c r="A1671" s="1" t="s">
        <v>5629</v>
      </c>
      <c r="B1671" s="1" t="s">
        <v>2032</v>
      </c>
      <c r="D1671" s="1" t="s">
        <v>1214</v>
      </c>
      <c r="E1671" s="1" t="s">
        <v>757</v>
      </c>
      <c r="F1671" s="3">
        <v>1</v>
      </c>
      <c r="G1671" s="8" t="s">
        <v>3888</v>
      </c>
      <c r="H1671" s="8" t="s">
        <v>5161</v>
      </c>
      <c r="I1671" s="3">
        <v>32</v>
      </c>
      <c r="J1671" s="3" t="s">
        <v>5636</v>
      </c>
      <c r="K1671" s="17" t="str">
        <f>HYPERLINK("http://ictvonline.org/taxonomyHistory.asp?taxnode_id=20172887","ICTVonline=20172887")</f>
        <v>ICTVonline=20172887</v>
      </c>
      <c r="L1671" s="3">
        <v>1670</v>
      </c>
    </row>
    <row r="1672" spans="1:12" x14ac:dyDescent="0.15">
      <c r="A1672" s="1" t="s">
        <v>5629</v>
      </c>
      <c r="B1672" s="1" t="s">
        <v>1657</v>
      </c>
      <c r="D1672" s="1" t="s">
        <v>1055</v>
      </c>
      <c r="E1672" s="1" t="s">
        <v>1056</v>
      </c>
      <c r="F1672" s="3">
        <v>0</v>
      </c>
      <c r="G1672" s="8" t="s">
        <v>2777</v>
      </c>
      <c r="H1672" s="8" t="s">
        <v>5161</v>
      </c>
      <c r="I1672" s="3">
        <v>32</v>
      </c>
      <c r="J1672" s="3" t="s">
        <v>5636</v>
      </c>
      <c r="K1672" s="17" t="str">
        <f>HYPERLINK("http://ictvonline.org/taxonomyHistory.asp?taxnode_id=20173814","ICTVonline=20173814")</f>
        <v>ICTVonline=20173814</v>
      </c>
      <c r="L1672" s="3">
        <v>1671</v>
      </c>
    </row>
    <row r="1673" spans="1:12" x14ac:dyDescent="0.15">
      <c r="A1673" s="1" t="s">
        <v>5629</v>
      </c>
      <c r="B1673" s="1" t="s">
        <v>1657</v>
      </c>
      <c r="D1673" s="1" t="s">
        <v>1055</v>
      </c>
      <c r="E1673" s="1" t="s">
        <v>1057</v>
      </c>
      <c r="F1673" s="3">
        <v>0</v>
      </c>
      <c r="G1673" s="8" t="s">
        <v>2777</v>
      </c>
      <c r="H1673" s="8" t="s">
        <v>5161</v>
      </c>
      <c r="I1673" s="3">
        <v>32</v>
      </c>
      <c r="J1673" s="3" t="s">
        <v>5636</v>
      </c>
      <c r="K1673" s="17" t="str">
        <f>HYPERLINK("http://ictvonline.org/taxonomyHistory.asp?taxnode_id=20173815","ICTVonline=20173815")</f>
        <v>ICTVonline=20173815</v>
      </c>
      <c r="L1673" s="3">
        <v>1672</v>
      </c>
    </row>
    <row r="1674" spans="1:12" x14ac:dyDescent="0.15">
      <c r="A1674" s="1" t="s">
        <v>5629</v>
      </c>
      <c r="B1674" s="1" t="s">
        <v>1657</v>
      </c>
      <c r="D1674" s="1" t="s">
        <v>1055</v>
      </c>
      <c r="E1674" s="1" t="s">
        <v>5645</v>
      </c>
      <c r="F1674" s="3">
        <v>0</v>
      </c>
      <c r="G1674" s="8" t="s">
        <v>2777</v>
      </c>
      <c r="H1674" s="8" t="s">
        <v>5161</v>
      </c>
      <c r="I1674" s="3">
        <v>32</v>
      </c>
      <c r="J1674" s="3" t="s">
        <v>5636</v>
      </c>
      <c r="K1674" s="17" t="str">
        <f>HYPERLINK("http://ictvonline.org/taxonomyHistory.asp?taxnode_id=20173816","ICTVonline=20173816")</f>
        <v>ICTVonline=20173816</v>
      </c>
      <c r="L1674" s="3">
        <v>1673</v>
      </c>
    </row>
    <row r="1675" spans="1:12" x14ac:dyDescent="0.15">
      <c r="A1675" s="1" t="s">
        <v>5629</v>
      </c>
      <c r="B1675" s="1" t="s">
        <v>1657</v>
      </c>
      <c r="D1675" s="1" t="s">
        <v>1055</v>
      </c>
      <c r="E1675" s="1" t="s">
        <v>1058</v>
      </c>
      <c r="F1675" s="3">
        <v>0</v>
      </c>
      <c r="G1675" s="8" t="s">
        <v>2777</v>
      </c>
      <c r="H1675" s="8" t="s">
        <v>5161</v>
      </c>
      <c r="I1675" s="3">
        <v>32</v>
      </c>
      <c r="J1675" s="3" t="s">
        <v>5636</v>
      </c>
      <c r="K1675" s="17" t="str">
        <f>HYPERLINK("http://ictvonline.org/taxonomyHistory.asp?taxnode_id=20173817","ICTVonline=20173817")</f>
        <v>ICTVonline=20173817</v>
      </c>
      <c r="L1675" s="3">
        <v>1674</v>
      </c>
    </row>
    <row r="1676" spans="1:12" x14ac:dyDescent="0.15">
      <c r="A1676" s="1" t="s">
        <v>5629</v>
      </c>
      <c r="B1676" s="1" t="s">
        <v>1657</v>
      </c>
      <c r="D1676" s="1" t="s">
        <v>1055</v>
      </c>
      <c r="E1676" s="1" t="s">
        <v>678</v>
      </c>
      <c r="F1676" s="3">
        <v>1</v>
      </c>
      <c r="G1676" s="8" t="s">
        <v>2777</v>
      </c>
      <c r="H1676" s="8" t="s">
        <v>5161</v>
      </c>
      <c r="I1676" s="3">
        <v>32</v>
      </c>
      <c r="J1676" s="3" t="s">
        <v>5636</v>
      </c>
      <c r="K1676" s="17" t="str">
        <f>HYPERLINK("http://ictvonline.org/taxonomyHistory.asp?taxnode_id=20173818","ICTVonline=20173818")</f>
        <v>ICTVonline=20173818</v>
      </c>
      <c r="L1676" s="3">
        <v>1675</v>
      </c>
    </row>
    <row r="1677" spans="1:12" x14ac:dyDescent="0.15">
      <c r="A1677" s="1" t="s">
        <v>5629</v>
      </c>
      <c r="B1677" s="1" t="s">
        <v>1657</v>
      </c>
      <c r="D1677" s="1" t="s">
        <v>1055</v>
      </c>
      <c r="E1677" s="1" t="s">
        <v>679</v>
      </c>
      <c r="F1677" s="3">
        <v>0</v>
      </c>
      <c r="G1677" s="8" t="s">
        <v>2777</v>
      </c>
      <c r="H1677" s="8" t="s">
        <v>5161</v>
      </c>
      <c r="I1677" s="3">
        <v>32</v>
      </c>
      <c r="J1677" s="3" t="s">
        <v>5636</v>
      </c>
      <c r="K1677" s="17" t="str">
        <f>HYPERLINK("http://ictvonline.org/taxonomyHistory.asp?taxnode_id=20173819","ICTVonline=20173819")</f>
        <v>ICTVonline=20173819</v>
      </c>
      <c r="L1677" s="3">
        <v>1676</v>
      </c>
    </row>
    <row r="1678" spans="1:12" x14ac:dyDescent="0.15">
      <c r="A1678" s="1" t="s">
        <v>5629</v>
      </c>
      <c r="B1678" s="1" t="s">
        <v>1657</v>
      </c>
      <c r="D1678" s="1" t="s">
        <v>1055</v>
      </c>
      <c r="E1678" s="1" t="s">
        <v>680</v>
      </c>
      <c r="F1678" s="3">
        <v>0</v>
      </c>
      <c r="G1678" s="8" t="s">
        <v>2777</v>
      </c>
      <c r="H1678" s="8" t="s">
        <v>5161</v>
      </c>
      <c r="I1678" s="3">
        <v>32</v>
      </c>
      <c r="J1678" s="3" t="s">
        <v>5636</v>
      </c>
      <c r="K1678" s="17" t="str">
        <f>HYPERLINK("http://ictvonline.org/taxonomyHistory.asp?taxnode_id=20173820","ICTVonline=20173820")</f>
        <v>ICTVonline=20173820</v>
      </c>
      <c r="L1678" s="3">
        <v>1677</v>
      </c>
    </row>
    <row r="1679" spans="1:12" x14ac:dyDescent="0.15">
      <c r="A1679" s="1" t="s">
        <v>5629</v>
      </c>
      <c r="B1679" s="1" t="s">
        <v>1657</v>
      </c>
      <c r="D1679" s="1" t="s">
        <v>1055</v>
      </c>
      <c r="E1679" s="1" t="s">
        <v>681</v>
      </c>
      <c r="F1679" s="3">
        <v>0</v>
      </c>
      <c r="G1679" s="8" t="s">
        <v>2777</v>
      </c>
      <c r="H1679" s="8" t="s">
        <v>5161</v>
      </c>
      <c r="I1679" s="3">
        <v>32</v>
      </c>
      <c r="J1679" s="3" t="s">
        <v>5636</v>
      </c>
      <c r="K1679" s="17" t="str">
        <f>HYPERLINK("http://ictvonline.org/taxonomyHistory.asp?taxnode_id=20173821","ICTVonline=20173821")</f>
        <v>ICTVonline=20173821</v>
      </c>
      <c r="L1679" s="3">
        <v>1678</v>
      </c>
    </row>
    <row r="1680" spans="1:12" x14ac:dyDescent="0.15">
      <c r="A1680" s="1" t="s">
        <v>5629</v>
      </c>
      <c r="B1680" s="1" t="s">
        <v>1657</v>
      </c>
      <c r="D1680" s="1" t="s">
        <v>1055</v>
      </c>
      <c r="E1680" s="1" t="s">
        <v>682</v>
      </c>
      <c r="F1680" s="3">
        <v>0</v>
      </c>
      <c r="G1680" s="8" t="s">
        <v>2777</v>
      </c>
      <c r="H1680" s="8" t="s">
        <v>5161</v>
      </c>
      <c r="I1680" s="3">
        <v>32</v>
      </c>
      <c r="J1680" s="3" t="s">
        <v>5636</v>
      </c>
      <c r="K1680" s="17" t="str">
        <f>HYPERLINK("http://ictvonline.org/taxonomyHistory.asp?taxnode_id=20173822","ICTVonline=20173822")</f>
        <v>ICTVonline=20173822</v>
      </c>
      <c r="L1680" s="3">
        <v>1679</v>
      </c>
    </row>
    <row r="1681" spans="1:12" x14ac:dyDescent="0.15">
      <c r="A1681" s="1" t="s">
        <v>5629</v>
      </c>
      <c r="B1681" s="1" t="s">
        <v>1657</v>
      </c>
      <c r="D1681" s="1" t="s">
        <v>1055</v>
      </c>
      <c r="E1681" s="1" t="s">
        <v>1060</v>
      </c>
      <c r="F1681" s="3">
        <v>0</v>
      </c>
      <c r="G1681" s="8" t="s">
        <v>2777</v>
      </c>
      <c r="H1681" s="8" t="s">
        <v>5161</v>
      </c>
      <c r="I1681" s="3">
        <v>32</v>
      </c>
      <c r="J1681" s="3" t="s">
        <v>5636</v>
      </c>
      <c r="K1681" s="17" t="str">
        <f>HYPERLINK("http://ictvonline.org/taxonomyHistory.asp?taxnode_id=20173823","ICTVonline=20173823")</f>
        <v>ICTVonline=20173823</v>
      </c>
      <c r="L1681" s="3">
        <v>1680</v>
      </c>
    </row>
    <row r="1682" spans="1:12" x14ac:dyDescent="0.15">
      <c r="A1682" s="1" t="s">
        <v>5629</v>
      </c>
      <c r="B1682" s="1" t="s">
        <v>1657</v>
      </c>
      <c r="D1682" s="1" t="s">
        <v>1061</v>
      </c>
      <c r="E1682" s="1" t="s">
        <v>1062</v>
      </c>
      <c r="F1682" s="3">
        <v>0</v>
      </c>
      <c r="G1682" s="8" t="s">
        <v>2777</v>
      </c>
      <c r="H1682" s="8" t="s">
        <v>5161</v>
      </c>
      <c r="I1682" s="3">
        <v>32</v>
      </c>
      <c r="J1682" s="3" t="s">
        <v>5636</v>
      </c>
      <c r="K1682" s="17" t="str">
        <f>HYPERLINK("http://ictvonline.org/taxonomyHistory.asp?taxnode_id=20173825","ICTVonline=20173825")</f>
        <v>ICTVonline=20173825</v>
      </c>
      <c r="L1682" s="3">
        <v>1681</v>
      </c>
    </row>
    <row r="1683" spans="1:12" x14ac:dyDescent="0.15">
      <c r="A1683" s="1" t="s">
        <v>5629</v>
      </c>
      <c r="B1683" s="1" t="s">
        <v>1657</v>
      </c>
      <c r="D1683" s="1" t="s">
        <v>1061</v>
      </c>
      <c r="E1683" s="1" t="s">
        <v>1063</v>
      </c>
      <c r="F1683" s="3">
        <v>0</v>
      </c>
      <c r="G1683" s="8" t="s">
        <v>2777</v>
      </c>
      <c r="H1683" s="8" t="s">
        <v>5161</v>
      </c>
      <c r="I1683" s="3">
        <v>32</v>
      </c>
      <c r="J1683" s="3" t="s">
        <v>5636</v>
      </c>
      <c r="K1683" s="17" t="str">
        <f>HYPERLINK("http://ictvonline.org/taxonomyHistory.asp?taxnode_id=20173826","ICTVonline=20173826")</f>
        <v>ICTVonline=20173826</v>
      </c>
      <c r="L1683" s="3">
        <v>1682</v>
      </c>
    </row>
    <row r="1684" spans="1:12" x14ac:dyDescent="0.15">
      <c r="A1684" s="1" t="s">
        <v>5629</v>
      </c>
      <c r="B1684" s="1" t="s">
        <v>1657</v>
      </c>
      <c r="D1684" s="1" t="s">
        <v>1061</v>
      </c>
      <c r="E1684" s="1" t="s">
        <v>1064</v>
      </c>
      <c r="F1684" s="3">
        <v>0</v>
      </c>
      <c r="G1684" s="8" t="s">
        <v>2777</v>
      </c>
      <c r="H1684" s="8" t="s">
        <v>5161</v>
      </c>
      <c r="I1684" s="3">
        <v>32</v>
      </c>
      <c r="J1684" s="3" t="s">
        <v>5636</v>
      </c>
      <c r="K1684" s="17" t="str">
        <f>HYPERLINK("http://ictvonline.org/taxonomyHistory.asp?taxnode_id=20173827","ICTVonline=20173827")</f>
        <v>ICTVonline=20173827</v>
      </c>
      <c r="L1684" s="3">
        <v>1683</v>
      </c>
    </row>
    <row r="1685" spans="1:12" x14ac:dyDescent="0.15">
      <c r="A1685" s="1" t="s">
        <v>5629</v>
      </c>
      <c r="B1685" s="1" t="s">
        <v>1657</v>
      </c>
      <c r="D1685" s="1" t="s">
        <v>1061</v>
      </c>
      <c r="E1685" s="1" t="s">
        <v>1065</v>
      </c>
      <c r="F1685" s="3">
        <v>0</v>
      </c>
      <c r="G1685" s="8" t="s">
        <v>2777</v>
      </c>
      <c r="H1685" s="8" t="s">
        <v>5161</v>
      </c>
      <c r="I1685" s="3">
        <v>32</v>
      </c>
      <c r="J1685" s="3" t="s">
        <v>5636</v>
      </c>
      <c r="K1685" s="17" t="str">
        <f>HYPERLINK("http://ictvonline.org/taxonomyHistory.asp?taxnode_id=20173828","ICTVonline=20173828")</f>
        <v>ICTVonline=20173828</v>
      </c>
      <c r="L1685" s="3">
        <v>1684</v>
      </c>
    </row>
    <row r="1686" spans="1:12" x14ac:dyDescent="0.15">
      <c r="A1686" s="1" t="s">
        <v>5629</v>
      </c>
      <c r="B1686" s="1" t="s">
        <v>1657</v>
      </c>
      <c r="D1686" s="1" t="s">
        <v>1061</v>
      </c>
      <c r="E1686" s="1" t="s">
        <v>1066</v>
      </c>
      <c r="F1686" s="3">
        <v>0</v>
      </c>
      <c r="G1686" s="8" t="s">
        <v>2777</v>
      </c>
      <c r="H1686" s="8" t="s">
        <v>5161</v>
      </c>
      <c r="I1686" s="3">
        <v>32</v>
      </c>
      <c r="J1686" s="3" t="s">
        <v>5636</v>
      </c>
      <c r="K1686" s="17" t="str">
        <f>HYPERLINK("http://ictvonline.org/taxonomyHistory.asp?taxnode_id=20173829","ICTVonline=20173829")</f>
        <v>ICTVonline=20173829</v>
      </c>
      <c r="L1686" s="3">
        <v>1685</v>
      </c>
    </row>
    <row r="1687" spans="1:12" x14ac:dyDescent="0.15">
      <c r="A1687" s="1" t="s">
        <v>5629</v>
      </c>
      <c r="B1687" s="1" t="s">
        <v>1657</v>
      </c>
      <c r="D1687" s="1" t="s">
        <v>1061</v>
      </c>
      <c r="E1687" s="1" t="s">
        <v>1067</v>
      </c>
      <c r="F1687" s="3">
        <v>0</v>
      </c>
      <c r="G1687" s="8" t="s">
        <v>2777</v>
      </c>
      <c r="H1687" s="8" t="s">
        <v>5161</v>
      </c>
      <c r="I1687" s="3">
        <v>32</v>
      </c>
      <c r="J1687" s="3" t="s">
        <v>5636</v>
      </c>
      <c r="K1687" s="17" t="str">
        <f>HYPERLINK("http://ictvonline.org/taxonomyHistory.asp?taxnode_id=20173830","ICTVonline=20173830")</f>
        <v>ICTVonline=20173830</v>
      </c>
      <c r="L1687" s="3">
        <v>1686</v>
      </c>
    </row>
    <row r="1688" spans="1:12" x14ac:dyDescent="0.15">
      <c r="A1688" s="1" t="s">
        <v>5629</v>
      </c>
      <c r="B1688" s="1" t="s">
        <v>1657</v>
      </c>
      <c r="D1688" s="1" t="s">
        <v>1061</v>
      </c>
      <c r="E1688" s="1" t="s">
        <v>1156</v>
      </c>
      <c r="F1688" s="3">
        <v>0</v>
      </c>
      <c r="G1688" s="8" t="s">
        <v>2777</v>
      </c>
      <c r="H1688" s="8" t="s">
        <v>5161</v>
      </c>
      <c r="I1688" s="3">
        <v>32</v>
      </c>
      <c r="J1688" s="3" t="s">
        <v>5636</v>
      </c>
      <c r="K1688" s="17" t="str">
        <f>HYPERLINK("http://ictvonline.org/taxonomyHistory.asp?taxnode_id=20173831","ICTVonline=20173831")</f>
        <v>ICTVonline=20173831</v>
      </c>
      <c r="L1688" s="3">
        <v>1687</v>
      </c>
    </row>
    <row r="1689" spans="1:12" x14ac:dyDescent="0.15">
      <c r="A1689" s="1" t="s">
        <v>5629</v>
      </c>
      <c r="B1689" s="1" t="s">
        <v>1657</v>
      </c>
      <c r="D1689" s="1" t="s">
        <v>1061</v>
      </c>
      <c r="E1689" s="1" t="s">
        <v>1157</v>
      </c>
      <c r="F1689" s="3">
        <v>0</v>
      </c>
      <c r="G1689" s="8" t="s">
        <v>2777</v>
      </c>
      <c r="H1689" s="8" t="s">
        <v>5161</v>
      </c>
      <c r="I1689" s="3">
        <v>32</v>
      </c>
      <c r="J1689" s="3" t="s">
        <v>5636</v>
      </c>
      <c r="K1689" s="17" t="str">
        <f>HYPERLINK("http://ictvonline.org/taxonomyHistory.asp?taxnode_id=20173832","ICTVonline=20173832")</f>
        <v>ICTVonline=20173832</v>
      </c>
      <c r="L1689" s="3">
        <v>1688</v>
      </c>
    </row>
    <row r="1690" spans="1:12" x14ac:dyDescent="0.15">
      <c r="A1690" s="1" t="s">
        <v>5629</v>
      </c>
      <c r="B1690" s="1" t="s">
        <v>1657</v>
      </c>
      <c r="D1690" s="1" t="s">
        <v>1061</v>
      </c>
      <c r="E1690" s="1" t="s">
        <v>1158</v>
      </c>
      <c r="F1690" s="3">
        <v>0</v>
      </c>
      <c r="G1690" s="8" t="s">
        <v>2777</v>
      </c>
      <c r="H1690" s="8" t="s">
        <v>5161</v>
      </c>
      <c r="I1690" s="3">
        <v>32</v>
      </c>
      <c r="J1690" s="3" t="s">
        <v>5636</v>
      </c>
      <c r="K1690" s="17" t="str">
        <f>HYPERLINK("http://ictvonline.org/taxonomyHistory.asp?taxnode_id=20173833","ICTVonline=20173833")</f>
        <v>ICTVonline=20173833</v>
      </c>
      <c r="L1690" s="3">
        <v>1689</v>
      </c>
    </row>
    <row r="1691" spans="1:12" x14ac:dyDescent="0.15">
      <c r="A1691" s="1" t="s">
        <v>5629</v>
      </c>
      <c r="B1691" s="1" t="s">
        <v>1657</v>
      </c>
      <c r="D1691" s="1" t="s">
        <v>1061</v>
      </c>
      <c r="E1691" s="1" t="s">
        <v>1159</v>
      </c>
      <c r="F1691" s="3">
        <v>0</v>
      </c>
      <c r="G1691" s="8" t="s">
        <v>2777</v>
      </c>
      <c r="H1691" s="8" t="s">
        <v>5161</v>
      </c>
      <c r="I1691" s="3">
        <v>32</v>
      </c>
      <c r="J1691" s="3" t="s">
        <v>5636</v>
      </c>
      <c r="K1691" s="17" t="str">
        <f>HYPERLINK("http://ictvonline.org/taxonomyHistory.asp?taxnode_id=20173834","ICTVonline=20173834")</f>
        <v>ICTVonline=20173834</v>
      </c>
      <c r="L1691" s="3">
        <v>1690</v>
      </c>
    </row>
    <row r="1692" spans="1:12" x14ac:dyDescent="0.15">
      <c r="A1692" s="1" t="s">
        <v>5629</v>
      </c>
      <c r="B1692" s="1" t="s">
        <v>1657</v>
      </c>
      <c r="D1692" s="1" t="s">
        <v>1061</v>
      </c>
      <c r="E1692" s="1" t="s">
        <v>1160</v>
      </c>
      <c r="F1692" s="3">
        <v>0</v>
      </c>
      <c r="G1692" s="8" t="s">
        <v>2777</v>
      </c>
      <c r="H1692" s="8" t="s">
        <v>5161</v>
      </c>
      <c r="I1692" s="3">
        <v>32</v>
      </c>
      <c r="J1692" s="3" t="s">
        <v>5636</v>
      </c>
      <c r="K1692" s="17" t="str">
        <f>HYPERLINK("http://ictvonline.org/taxonomyHistory.asp?taxnode_id=20173835","ICTVonline=20173835")</f>
        <v>ICTVonline=20173835</v>
      </c>
      <c r="L1692" s="3">
        <v>1691</v>
      </c>
    </row>
    <row r="1693" spans="1:12" x14ac:dyDescent="0.15">
      <c r="A1693" s="1" t="s">
        <v>5629</v>
      </c>
      <c r="B1693" s="1" t="s">
        <v>1657</v>
      </c>
      <c r="D1693" s="1" t="s">
        <v>1061</v>
      </c>
      <c r="E1693" s="1" t="s">
        <v>1161</v>
      </c>
      <c r="F1693" s="3">
        <v>0</v>
      </c>
      <c r="G1693" s="8" t="s">
        <v>2777</v>
      </c>
      <c r="H1693" s="8" t="s">
        <v>5161</v>
      </c>
      <c r="I1693" s="3">
        <v>32</v>
      </c>
      <c r="J1693" s="3" t="s">
        <v>5636</v>
      </c>
      <c r="K1693" s="17" t="str">
        <f>HYPERLINK("http://ictvonline.org/taxonomyHistory.asp?taxnode_id=20173836","ICTVonline=20173836")</f>
        <v>ICTVonline=20173836</v>
      </c>
      <c r="L1693" s="3">
        <v>1692</v>
      </c>
    </row>
    <row r="1694" spans="1:12" x14ac:dyDescent="0.15">
      <c r="A1694" s="1" t="s">
        <v>5629</v>
      </c>
      <c r="B1694" s="1" t="s">
        <v>1657</v>
      </c>
      <c r="D1694" s="1" t="s">
        <v>1061</v>
      </c>
      <c r="E1694" s="1" t="s">
        <v>1689</v>
      </c>
      <c r="F1694" s="3">
        <v>0</v>
      </c>
      <c r="G1694" s="8" t="s">
        <v>2777</v>
      </c>
      <c r="H1694" s="8" t="s">
        <v>5161</v>
      </c>
      <c r="I1694" s="3">
        <v>32</v>
      </c>
      <c r="J1694" s="3" t="s">
        <v>5636</v>
      </c>
      <c r="K1694" s="17" t="str">
        <f>HYPERLINK("http://ictvonline.org/taxonomyHistory.asp?taxnode_id=20173837","ICTVonline=20173837")</f>
        <v>ICTVonline=20173837</v>
      </c>
      <c r="L1694" s="3">
        <v>1693</v>
      </c>
    </row>
    <row r="1695" spans="1:12" x14ac:dyDescent="0.15">
      <c r="A1695" s="1" t="s">
        <v>5629</v>
      </c>
      <c r="B1695" s="1" t="s">
        <v>1657</v>
      </c>
      <c r="D1695" s="1" t="s">
        <v>1061</v>
      </c>
      <c r="E1695" s="1" t="s">
        <v>1690</v>
      </c>
      <c r="F1695" s="3">
        <v>0</v>
      </c>
      <c r="G1695" s="8" t="s">
        <v>2777</v>
      </c>
      <c r="H1695" s="8" t="s">
        <v>5161</v>
      </c>
      <c r="I1695" s="3">
        <v>32</v>
      </c>
      <c r="J1695" s="3" t="s">
        <v>5636</v>
      </c>
      <c r="K1695" s="17" t="str">
        <f>HYPERLINK("http://ictvonline.org/taxonomyHistory.asp?taxnode_id=20173838","ICTVonline=20173838")</f>
        <v>ICTVonline=20173838</v>
      </c>
      <c r="L1695" s="3">
        <v>1694</v>
      </c>
    </row>
    <row r="1696" spans="1:12" x14ac:dyDescent="0.15">
      <c r="A1696" s="1" t="s">
        <v>5629</v>
      </c>
      <c r="B1696" s="1" t="s">
        <v>1657</v>
      </c>
      <c r="D1696" s="1" t="s">
        <v>1061</v>
      </c>
      <c r="E1696" s="1" t="s">
        <v>1691</v>
      </c>
      <c r="F1696" s="3">
        <v>0</v>
      </c>
      <c r="G1696" s="8" t="s">
        <v>2777</v>
      </c>
      <c r="H1696" s="8" t="s">
        <v>5161</v>
      </c>
      <c r="I1696" s="3">
        <v>32</v>
      </c>
      <c r="J1696" s="3" t="s">
        <v>5636</v>
      </c>
      <c r="K1696" s="17" t="str">
        <f>HYPERLINK("http://ictvonline.org/taxonomyHistory.asp?taxnode_id=20173839","ICTVonline=20173839")</f>
        <v>ICTVonline=20173839</v>
      </c>
      <c r="L1696" s="3">
        <v>1695</v>
      </c>
    </row>
    <row r="1697" spans="1:12" x14ac:dyDescent="0.15">
      <c r="A1697" s="1" t="s">
        <v>5629</v>
      </c>
      <c r="B1697" s="1" t="s">
        <v>1657</v>
      </c>
      <c r="D1697" s="1" t="s">
        <v>1061</v>
      </c>
      <c r="E1697" s="1" t="s">
        <v>1692</v>
      </c>
      <c r="F1697" s="3">
        <v>1</v>
      </c>
      <c r="G1697" s="8" t="s">
        <v>2777</v>
      </c>
      <c r="H1697" s="8" t="s">
        <v>5161</v>
      </c>
      <c r="I1697" s="3">
        <v>32</v>
      </c>
      <c r="J1697" s="3" t="s">
        <v>5636</v>
      </c>
      <c r="K1697" s="17" t="str">
        <f>HYPERLINK("http://ictvonline.org/taxonomyHistory.asp?taxnode_id=20173840","ICTVonline=20173840")</f>
        <v>ICTVonline=20173840</v>
      </c>
      <c r="L1697" s="3">
        <v>1696</v>
      </c>
    </row>
    <row r="1698" spans="1:12" x14ac:dyDescent="0.15">
      <c r="A1698" s="1" t="s">
        <v>5629</v>
      </c>
      <c r="B1698" s="1" t="s">
        <v>1657</v>
      </c>
      <c r="D1698" s="1" t="s">
        <v>1061</v>
      </c>
      <c r="E1698" s="1" t="s">
        <v>1693</v>
      </c>
      <c r="F1698" s="3">
        <v>0</v>
      </c>
      <c r="G1698" s="8" t="s">
        <v>2777</v>
      </c>
      <c r="H1698" s="8" t="s">
        <v>5161</v>
      </c>
      <c r="I1698" s="3">
        <v>32</v>
      </c>
      <c r="J1698" s="3" t="s">
        <v>5636</v>
      </c>
      <c r="K1698" s="17" t="str">
        <f>HYPERLINK("http://ictvonline.org/taxonomyHistory.asp?taxnode_id=20173841","ICTVonline=20173841")</f>
        <v>ICTVonline=20173841</v>
      </c>
      <c r="L1698" s="3">
        <v>1697</v>
      </c>
    </row>
    <row r="1699" spans="1:12" x14ac:dyDescent="0.15">
      <c r="A1699" s="1" t="s">
        <v>5629</v>
      </c>
      <c r="B1699" s="1" t="s">
        <v>1657</v>
      </c>
      <c r="D1699" s="1" t="s">
        <v>1061</v>
      </c>
      <c r="E1699" s="1" t="s">
        <v>1685</v>
      </c>
      <c r="F1699" s="3">
        <v>0</v>
      </c>
      <c r="G1699" s="8" t="s">
        <v>2777</v>
      </c>
      <c r="H1699" s="8" t="s">
        <v>5161</v>
      </c>
      <c r="I1699" s="3">
        <v>32</v>
      </c>
      <c r="J1699" s="3" t="s">
        <v>5636</v>
      </c>
      <c r="K1699" s="17" t="str">
        <f>HYPERLINK("http://ictvonline.org/taxonomyHistory.asp?taxnode_id=20173842","ICTVonline=20173842")</f>
        <v>ICTVonline=20173842</v>
      </c>
      <c r="L1699" s="3">
        <v>1698</v>
      </c>
    </row>
    <row r="1700" spans="1:12" x14ac:dyDescent="0.15">
      <c r="A1700" s="1" t="s">
        <v>5629</v>
      </c>
      <c r="B1700" s="1" t="s">
        <v>1657</v>
      </c>
      <c r="D1700" s="1" t="s">
        <v>1061</v>
      </c>
      <c r="E1700" s="1" t="s">
        <v>1686</v>
      </c>
      <c r="F1700" s="3">
        <v>0</v>
      </c>
      <c r="G1700" s="8" t="s">
        <v>2777</v>
      </c>
      <c r="H1700" s="8" t="s">
        <v>5161</v>
      </c>
      <c r="I1700" s="3">
        <v>32</v>
      </c>
      <c r="J1700" s="3" t="s">
        <v>5636</v>
      </c>
      <c r="K1700" s="17" t="str">
        <f>HYPERLINK("http://ictvonline.org/taxonomyHistory.asp?taxnode_id=20173843","ICTVonline=20173843")</f>
        <v>ICTVonline=20173843</v>
      </c>
      <c r="L1700" s="3">
        <v>1699</v>
      </c>
    </row>
    <row r="1701" spans="1:12" x14ac:dyDescent="0.15">
      <c r="A1701" s="1" t="s">
        <v>5629</v>
      </c>
      <c r="B1701" s="1" t="s">
        <v>1657</v>
      </c>
      <c r="D1701" s="1" t="s">
        <v>1061</v>
      </c>
      <c r="E1701" s="1" t="s">
        <v>1687</v>
      </c>
      <c r="F1701" s="3">
        <v>0</v>
      </c>
      <c r="G1701" s="8" t="s">
        <v>2777</v>
      </c>
      <c r="H1701" s="8" t="s">
        <v>5161</v>
      </c>
      <c r="I1701" s="3">
        <v>32</v>
      </c>
      <c r="J1701" s="3" t="s">
        <v>5636</v>
      </c>
      <c r="K1701" s="17" t="str">
        <f>HYPERLINK("http://ictvonline.org/taxonomyHistory.asp?taxnode_id=20173844","ICTVonline=20173844")</f>
        <v>ICTVonline=20173844</v>
      </c>
      <c r="L1701" s="3">
        <v>1700</v>
      </c>
    </row>
    <row r="1702" spans="1:12" x14ac:dyDescent="0.15">
      <c r="A1702" s="1" t="s">
        <v>5629</v>
      </c>
      <c r="B1702" s="1" t="s">
        <v>1657</v>
      </c>
      <c r="D1702" s="1" t="s">
        <v>1061</v>
      </c>
      <c r="E1702" s="1" t="s">
        <v>1688</v>
      </c>
      <c r="F1702" s="3">
        <v>0</v>
      </c>
      <c r="G1702" s="8" t="s">
        <v>2777</v>
      </c>
      <c r="H1702" s="8" t="s">
        <v>5161</v>
      </c>
      <c r="I1702" s="3">
        <v>32</v>
      </c>
      <c r="J1702" s="3" t="s">
        <v>5636</v>
      </c>
      <c r="K1702" s="17" t="str">
        <f>HYPERLINK("http://ictvonline.org/taxonomyHistory.asp?taxnode_id=20173845","ICTVonline=20173845")</f>
        <v>ICTVonline=20173845</v>
      </c>
      <c r="L1702" s="3">
        <v>1701</v>
      </c>
    </row>
    <row r="1703" spans="1:12" x14ac:dyDescent="0.15">
      <c r="A1703" s="1" t="s">
        <v>5629</v>
      </c>
      <c r="B1703" s="1" t="s">
        <v>2153</v>
      </c>
      <c r="D1703" s="1" t="s">
        <v>2154</v>
      </c>
      <c r="E1703" s="1" t="s">
        <v>1537</v>
      </c>
      <c r="F1703" s="3">
        <v>0</v>
      </c>
      <c r="G1703" s="8" t="s">
        <v>2777</v>
      </c>
      <c r="H1703" s="8" t="s">
        <v>5161</v>
      </c>
      <c r="I1703" s="3">
        <v>32</v>
      </c>
      <c r="J1703" s="3" t="s">
        <v>5636</v>
      </c>
      <c r="K1703" s="17" t="str">
        <f>HYPERLINK("http://ictvonline.org/taxonomyHistory.asp?taxnode_id=20174830","ICTVonline=20174830")</f>
        <v>ICTVonline=20174830</v>
      </c>
      <c r="L1703" s="3">
        <v>1702</v>
      </c>
    </row>
    <row r="1704" spans="1:12" x14ac:dyDescent="0.15">
      <c r="A1704" s="1" t="s">
        <v>5629</v>
      </c>
      <c r="B1704" s="1" t="s">
        <v>2153</v>
      </c>
      <c r="D1704" s="1" t="s">
        <v>2154</v>
      </c>
      <c r="E1704" s="1" t="s">
        <v>1538</v>
      </c>
      <c r="F1704" s="3">
        <v>0</v>
      </c>
      <c r="G1704" s="8" t="s">
        <v>2777</v>
      </c>
      <c r="H1704" s="8" t="s">
        <v>5161</v>
      </c>
      <c r="I1704" s="3">
        <v>32</v>
      </c>
      <c r="J1704" s="3" t="s">
        <v>5636</v>
      </c>
      <c r="K1704" s="17" t="str">
        <f>HYPERLINK("http://ictvonline.org/taxonomyHistory.asp?taxnode_id=20174831","ICTVonline=20174831")</f>
        <v>ICTVonline=20174831</v>
      </c>
      <c r="L1704" s="3">
        <v>1703</v>
      </c>
    </row>
    <row r="1705" spans="1:12" x14ac:dyDescent="0.15">
      <c r="A1705" s="1" t="s">
        <v>5629</v>
      </c>
      <c r="B1705" s="1" t="s">
        <v>2153</v>
      </c>
      <c r="D1705" s="1" t="s">
        <v>2154</v>
      </c>
      <c r="E1705" s="1" t="s">
        <v>1573</v>
      </c>
      <c r="F1705" s="3">
        <v>0</v>
      </c>
      <c r="G1705" s="8" t="s">
        <v>2777</v>
      </c>
      <c r="H1705" s="8" t="s">
        <v>5161</v>
      </c>
      <c r="I1705" s="3">
        <v>32</v>
      </c>
      <c r="J1705" s="3" t="s">
        <v>5636</v>
      </c>
      <c r="K1705" s="17" t="str">
        <f>HYPERLINK("http://ictvonline.org/taxonomyHistory.asp?taxnode_id=20174832","ICTVonline=20174832")</f>
        <v>ICTVonline=20174832</v>
      </c>
      <c r="L1705" s="3">
        <v>1704</v>
      </c>
    </row>
    <row r="1706" spans="1:12" x14ac:dyDescent="0.15">
      <c r="A1706" s="1" t="s">
        <v>5629</v>
      </c>
      <c r="B1706" s="1" t="s">
        <v>2153</v>
      </c>
      <c r="D1706" s="1" t="s">
        <v>2154</v>
      </c>
      <c r="E1706" s="1" t="s">
        <v>1574</v>
      </c>
      <c r="F1706" s="3">
        <v>0</v>
      </c>
      <c r="G1706" s="8" t="s">
        <v>2777</v>
      </c>
      <c r="H1706" s="8" t="s">
        <v>5161</v>
      </c>
      <c r="I1706" s="3">
        <v>32</v>
      </c>
      <c r="J1706" s="3" t="s">
        <v>5636</v>
      </c>
      <c r="K1706" s="17" t="str">
        <f>HYPERLINK("http://ictvonline.org/taxonomyHistory.asp?taxnode_id=20174833","ICTVonline=20174833")</f>
        <v>ICTVonline=20174833</v>
      </c>
      <c r="L1706" s="3">
        <v>1705</v>
      </c>
    </row>
    <row r="1707" spans="1:12" x14ac:dyDescent="0.15">
      <c r="A1707" s="1" t="s">
        <v>5629</v>
      </c>
      <c r="B1707" s="1" t="s">
        <v>2153</v>
      </c>
      <c r="D1707" s="1" t="s">
        <v>2154</v>
      </c>
      <c r="E1707" s="1" t="s">
        <v>1890</v>
      </c>
      <c r="F1707" s="3">
        <v>1</v>
      </c>
      <c r="G1707" s="8" t="s">
        <v>2777</v>
      </c>
      <c r="H1707" s="8" t="s">
        <v>5161</v>
      </c>
      <c r="I1707" s="3">
        <v>32</v>
      </c>
      <c r="J1707" s="3" t="s">
        <v>5636</v>
      </c>
      <c r="K1707" s="17" t="str">
        <f>HYPERLINK("http://ictvonline.org/taxonomyHistory.asp?taxnode_id=20174834","ICTVonline=20174834")</f>
        <v>ICTVonline=20174834</v>
      </c>
      <c r="L1707" s="3">
        <v>1706</v>
      </c>
    </row>
    <row r="1708" spans="1:12" x14ac:dyDescent="0.15">
      <c r="A1708" s="1" t="s">
        <v>5629</v>
      </c>
      <c r="B1708" s="1" t="s">
        <v>2153</v>
      </c>
      <c r="D1708" s="1" t="s">
        <v>2154</v>
      </c>
      <c r="E1708" s="1" t="s">
        <v>1891</v>
      </c>
      <c r="F1708" s="3">
        <v>0</v>
      </c>
      <c r="G1708" s="8" t="s">
        <v>2777</v>
      </c>
      <c r="H1708" s="8" t="s">
        <v>5161</v>
      </c>
      <c r="I1708" s="3">
        <v>32</v>
      </c>
      <c r="J1708" s="3" t="s">
        <v>5636</v>
      </c>
      <c r="K1708" s="17" t="str">
        <f>HYPERLINK("http://ictvonline.org/taxonomyHistory.asp?taxnode_id=20174835","ICTVonline=20174835")</f>
        <v>ICTVonline=20174835</v>
      </c>
      <c r="L1708" s="3">
        <v>1707</v>
      </c>
    </row>
    <row r="1709" spans="1:12" x14ac:dyDescent="0.15">
      <c r="A1709" s="1" t="s">
        <v>5629</v>
      </c>
      <c r="B1709" s="1" t="s">
        <v>2153</v>
      </c>
      <c r="D1709" s="1" t="s">
        <v>2154</v>
      </c>
      <c r="E1709" s="1" t="s">
        <v>2095</v>
      </c>
      <c r="F1709" s="3">
        <v>0</v>
      </c>
      <c r="G1709" s="8" t="s">
        <v>2777</v>
      </c>
      <c r="H1709" s="8" t="s">
        <v>5161</v>
      </c>
      <c r="I1709" s="3">
        <v>32</v>
      </c>
      <c r="J1709" s="3" t="s">
        <v>5636</v>
      </c>
      <c r="K1709" s="17" t="str">
        <f>HYPERLINK("http://ictvonline.org/taxonomyHistory.asp?taxnode_id=20174836","ICTVonline=20174836")</f>
        <v>ICTVonline=20174836</v>
      </c>
      <c r="L1709" s="3">
        <v>1708</v>
      </c>
    </row>
    <row r="1710" spans="1:12" x14ac:dyDescent="0.15">
      <c r="A1710" s="1" t="s">
        <v>5629</v>
      </c>
      <c r="B1710" s="1" t="s">
        <v>2153</v>
      </c>
      <c r="D1710" s="1" t="s">
        <v>2154</v>
      </c>
      <c r="E1710" s="1" t="s">
        <v>1908</v>
      </c>
      <c r="F1710" s="3">
        <v>0</v>
      </c>
      <c r="G1710" s="8" t="s">
        <v>2777</v>
      </c>
      <c r="H1710" s="8" t="s">
        <v>5161</v>
      </c>
      <c r="I1710" s="3">
        <v>32</v>
      </c>
      <c r="J1710" s="3" t="s">
        <v>5636</v>
      </c>
      <c r="K1710" s="17" t="str">
        <f>HYPERLINK("http://ictvonline.org/taxonomyHistory.asp?taxnode_id=20174837","ICTVonline=20174837")</f>
        <v>ICTVonline=20174837</v>
      </c>
      <c r="L1710" s="3">
        <v>1709</v>
      </c>
    </row>
    <row r="1711" spans="1:12" x14ac:dyDescent="0.15">
      <c r="A1711" s="1" t="s">
        <v>5629</v>
      </c>
      <c r="B1711" s="1" t="s">
        <v>2153</v>
      </c>
      <c r="D1711" s="1" t="s">
        <v>1909</v>
      </c>
      <c r="E1711" s="4" t="s">
        <v>288</v>
      </c>
      <c r="F1711" s="3">
        <v>0</v>
      </c>
      <c r="G1711" s="9" t="s">
        <v>2777</v>
      </c>
      <c r="H1711" s="9" t="s">
        <v>5161</v>
      </c>
      <c r="I1711" s="3">
        <v>32</v>
      </c>
      <c r="J1711" s="3" t="s">
        <v>5636</v>
      </c>
      <c r="K1711" s="17" t="str">
        <f>HYPERLINK("http://ictvonline.org/taxonomyHistory.asp?taxnode_id=20174839","ICTVonline=20174839")</f>
        <v>ICTVonline=20174839</v>
      </c>
      <c r="L1711" s="3">
        <v>1710</v>
      </c>
    </row>
    <row r="1712" spans="1:12" x14ac:dyDescent="0.15">
      <c r="A1712" s="1" t="s">
        <v>5629</v>
      </c>
      <c r="B1712" s="1" t="s">
        <v>2153</v>
      </c>
      <c r="D1712" s="1" t="s">
        <v>1909</v>
      </c>
      <c r="E1712" s="1" t="s">
        <v>289</v>
      </c>
      <c r="F1712" s="3">
        <v>0</v>
      </c>
      <c r="G1712" s="8" t="s">
        <v>2777</v>
      </c>
      <c r="H1712" s="8" t="s">
        <v>5161</v>
      </c>
      <c r="I1712" s="3">
        <v>32</v>
      </c>
      <c r="J1712" s="3" t="s">
        <v>5636</v>
      </c>
      <c r="K1712" s="17" t="str">
        <f>HYPERLINK("http://ictvonline.org/taxonomyHistory.asp?taxnode_id=20174840","ICTVonline=20174840")</f>
        <v>ICTVonline=20174840</v>
      </c>
      <c r="L1712" s="3">
        <v>1711</v>
      </c>
    </row>
    <row r="1713" spans="1:12" x14ac:dyDescent="0.15">
      <c r="A1713" s="1" t="s">
        <v>5629</v>
      </c>
      <c r="B1713" s="1" t="s">
        <v>2153</v>
      </c>
      <c r="D1713" s="1" t="s">
        <v>1909</v>
      </c>
      <c r="E1713" s="1" t="s">
        <v>2784</v>
      </c>
      <c r="F1713" s="3">
        <v>0</v>
      </c>
      <c r="G1713" s="8" t="s">
        <v>2777</v>
      </c>
      <c r="H1713" s="8" t="s">
        <v>5161</v>
      </c>
      <c r="I1713" s="3">
        <v>32</v>
      </c>
      <c r="J1713" s="3" t="s">
        <v>5636</v>
      </c>
      <c r="K1713" s="17" t="str">
        <f>HYPERLINK("http://ictvonline.org/taxonomyHistory.asp?taxnode_id=20174841","ICTVonline=20174841")</f>
        <v>ICTVonline=20174841</v>
      </c>
      <c r="L1713" s="3">
        <v>1712</v>
      </c>
    </row>
    <row r="1714" spans="1:12" x14ac:dyDescent="0.15">
      <c r="A1714" s="1" t="s">
        <v>5629</v>
      </c>
      <c r="B1714" s="1" t="s">
        <v>2153</v>
      </c>
      <c r="D1714" s="1" t="s">
        <v>1909</v>
      </c>
      <c r="E1714" s="1" t="s">
        <v>1294</v>
      </c>
      <c r="F1714" s="3">
        <v>0</v>
      </c>
      <c r="G1714" s="8" t="s">
        <v>2777</v>
      </c>
      <c r="H1714" s="8" t="s">
        <v>5161</v>
      </c>
      <c r="I1714" s="3">
        <v>32</v>
      </c>
      <c r="J1714" s="3" t="s">
        <v>5636</v>
      </c>
      <c r="K1714" s="17" t="str">
        <f>HYPERLINK("http://ictvonline.org/taxonomyHistory.asp?taxnode_id=20174842","ICTVonline=20174842")</f>
        <v>ICTVonline=20174842</v>
      </c>
      <c r="L1714" s="3">
        <v>1713</v>
      </c>
    </row>
    <row r="1715" spans="1:12" x14ac:dyDescent="0.15">
      <c r="A1715" s="1" t="s">
        <v>5629</v>
      </c>
      <c r="B1715" s="1" t="s">
        <v>2153</v>
      </c>
      <c r="D1715" s="1" t="s">
        <v>1909</v>
      </c>
      <c r="E1715" s="1" t="s">
        <v>1295</v>
      </c>
      <c r="F1715" s="3">
        <v>0</v>
      </c>
      <c r="G1715" s="8" t="s">
        <v>2777</v>
      </c>
      <c r="H1715" s="8" t="s">
        <v>5161</v>
      </c>
      <c r="I1715" s="3">
        <v>32</v>
      </c>
      <c r="J1715" s="3" t="s">
        <v>5636</v>
      </c>
      <c r="K1715" s="17" t="str">
        <f>HYPERLINK("http://ictvonline.org/taxonomyHistory.asp?taxnode_id=20174843","ICTVonline=20174843")</f>
        <v>ICTVonline=20174843</v>
      </c>
      <c r="L1715" s="3">
        <v>1714</v>
      </c>
    </row>
    <row r="1716" spans="1:12" x14ac:dyDescent="0.15">
      <c r="A1716" s="1" t="s">
        <v>5629</v>
      </c>
      <c r="B1716" s="1" t="s">
        <v>2153</v>
      </c>
      <c r="D1716" s="1" t="s">
        <v>1909</v>
      </c>
      <c r="E1716" s="1" t="s">
        <v>1296</v>
      </c>
      <c r="F1716" s="3">
        <v>0</v>
      </c>
      <c r="G1716" s="8" t="s">
        <v>2777</v>
      </c>
      <c r="H1716" s="8" t="s">
        <v>5161</v>
      </c>
      <c r="I1716" s="3">
        <v>32</v>
      </c>
      <c r="J1716" s="3" t="s">
        <v>5636</v>
      </c>
      <c r="K1716" s="17" t="str">
        <f>HYPERLINK("http://ictvonline.org/taxonomyHistory.asp?taxnode_id=20174844","ICTVonline=20174844")</f>
        <v>ICTVonline=20174844</v>
      </c>
      <c r="L1716" s="3">
        <v>1715</v>
      </c>
    </row>
    <row r="1717" spans="1:12" x14ac:dyDescent="0.15">
      <c r="A1717" s="1" t="s">
        <v>5629</v>
      </c>
      <c r="B1717" s="1" t="s">
        <v>2153</v>
      </c>
      <c r="D1717" s="1" t="s">
        <v>1909</v>
      </c>
      <c r="E1717" s="1" t="s">
        <v>1297</v>
      </c>
      <c r="F1717" s="3">
        <v>0</v>
      </c>
      <c r="G1717" s="8" t="s">
        <v>2777</v>
      </c>
      <c r="H1717" s="8" t="s">
        <v>5161</v>
      </c>
      <c r="I1717" s="3">
        <v>32</v>
      </c>
      <c r="J1717" s="3" t="s">
        <v>5636</v>
      </c>
      <c r="K1717" s="17" t="str">
        <f>HYPERLINK("http://ictvonline.org/taxonomyHistory.asp?taxnode_id=20174845","ICTVonline=20174845")</f>
        <v>ICTVonline=20174845</v>
      </c>
      <c r="L1717" s="3">
        <v>1716</v>
      </c>
    </row>
    <row r="1718" spans="1:12" x14ac:dyDescent="0.15">
      <c r="A1718" s="1" t="s">
        <v>5629</v>
      </c>
      <c r="B1718" s="1" t="s">
        <v>2153</v>
      </c>
      <c r="D1718" s="1" t="s">
        <v>1909</v>
      </c>
      <c r="E1718" s="1" t="s">
        <v>1298</v>
      </c>
      <c r="F1718" s="3">
        <v>0</v>
      </c>
      <c r="G1718" s="8" t="s">
        <v>2777</v>
      </c>
      <c r="H1718" s="8" t="s">
        <v>5161</v>
      </c>
      <c r="I1718" s="3">
        <v>32</v>
      </c>
      <c r="J1718" s="3" t="s">
        <v>5636</v>
      </c>
      <c r="K1718" s="17" t="str">
        <f>HYPERLINK("http://ictvonline.org/taxonomyHistory.asp?taxnode_id=20174846","ICTVonline=20174846")</f>
        <v>ICTVonline=20174846</v>
      </c>
      <c r="L1718" s="3">
        <v>1717</v>
      </c>
    </row>
    <row r="1719" spans="1:12" x14ac:dyDescent="0.15">
      <c r="A1719" s="1" t="s">
        <v>5629</v>
      </c>
      <c r="B1719" s="1" t="s">
        <v>2153</v>
      </c>
      <c r="D1719" s="1" t="s">
        <v>1909</v>
      </c>
      <c r="E1719" s="1" t="s">
        <v>1299</v>
      </c>
      <c r="F1719" s="3">
        <v>0</v>
      </c>
      <c r="G1719" s="8" t="s">
        <v>2777</v>
      </c>
      <c r="H1719" s="8" t="s">
        <v>5161</v>
      </c>
      <c r="I1719" s="3">
        <v>32</v>
      </c>
      <c r="J1719" s="3" t="s">
        <v>5636</v>
      </c>
      <c r="K1719" s="17" t="str">
        <f>HYPERLINK("http://ictvonline.org/taxonomyHistory.asp?taxnode_id=20174847","ICTVonline=20174847")</f>
        <v>ICTVonline=20174847</v>
      </c>
      <c r="L1719" s="3">
        <v>1718</v>
      </c>
    </row>
    <row r="1720" spans="1:12" x14ac:dyDescent="0.15">
      <c r="A1720" s="1" t="s">
        <v>5629</v>
      </c>
      <c r="B1720" s="1" t="s">
        <v>2153</v>
      </c>
      <c r="D1720" s="1" t="s">
        <v>1909</v>
      </c>
      <c r="E1720" s="1" t="s">
        <v>1300</v>
      </c>
      <c r="F1720" s="3">
        <v>0</v>
      </c>
      <c r="G1720" s="8" t="s">
        <v>2777</v>
      </c>
      <c r="H1720" s="8" t="s">
        <v>5161</v>
      </c>
      <c r="I1720" s="3">
        <v>32</v>
      </c>
      <c r="J1720" s="3" t="s">
        <v>5636</v>
      </c>
      <c r="K1720" s="17" t="str">
        <f>HYPERLINK("http://ictvonline.org/taxonomyHistory.asp?taxnode_id=20174848","ICTVonline=20174848")</f>
        <v>ICTVonline=20174848</v>
      </c>
      <c r="L1720" s="3">
        <v>1719</v>
      </c>
    </row>
    <row r="1721" spans="1:12" x14ac:dyDescent="0.15">
      <c r="A1721" s="1" t="s">
        <v>5629</v>
      </c>
      <c r="B1721" s="1" t="s">
        <v>2153</v>
      </c>
      <c r="D1721" s="1" t="s">
        <v>1909</v>
      </c>
      <c r="E1721" s="1" t="s">
        <v>1699</v>
      </c>
      <c r="F1721" s="3">
        <v>0</v>
      </c>
      <c r="G1721" s="8" t="s">
        <v>2777</v>
      </c>
      <c r="H1721" s="8" t="s">
        <v>5161</v>
      </c>
      <c r="I1721" s="3">
        <v>32</v>
      </c>
      <c r="J1721" s="3" t="s">
        <v>5636</v>
      </c>
      <c r="K1721" s="17" t="str">
        <f>HYPERLINK("http://ictvonline.org/taxonomyHistory.asp?taxnode_id=20174849","ICTVonline=20174849")</f>
        <v>ICTVonline=20174849</v>
      </c>
      <c r="L1721" s="3">
        <v>1720</v>
      </c>
    </row>
    <row r="1722" spans="1:12" x14ac:dyDescent="0.15">
      <c r="A1722" s="1" t="s">
        <v>5629</v>
      </c>
      <c r="B1722" s="1" t="s">
        <v>2153</v>
      </c>
      <c r="D1722" s="1" t="s">
        <v>1909</v>
      </c>
      <c r="E1722" s="1" t="s">
        <v>1700</v>
      </c>
      <c r="F1722" s="3">
        <v>0</v>
      </c>
      <c r="G1722" s="8" t="s">
        <v>2777</v>
      </c>
      <c r="H1722" s="8" t="s">
        <v>5161</v>
      </c>
      <c r="I1722" s="11">
        <v>32</v>
      </c>
      <c r="J1722" s="11" t="s">
        <v>5636</v>
      </c>
      <c r="K1722" s="17" t="str">
        <f>HYPERLINK("http://ictvonline.org/taxonomyHistory.asp?taxnode_id=20174850","ICTVonline=20174850")</f>
        <v>ICTVonline=20174850</v>
      </c>
      <c r="L1722" s="3">
        <v>1721</v>
      </c>
    </row>
    <row r="1723" spans="1:12" x14ac:dyDescent="0.15">
      <c r="A1723" s="1" t="s">
        <v>5629</v>
      </c>
      <c r="B1723" s="1" t="s">
        <v>2153</v>
      </c>
      <c r="D1723" s="1" t="s">
        <v>1909</v>
      </c>
      <c r="E1723" s="1" t="s">
        <v>1701</v>
      </c>
      <c r="F1723" s="3">
        <v>0</v>
      </c>
      <c r="G1723" s="8" t="s">
        <v>2777</v>
      </c>
      <c r="H1723" s="8" t="s">
        <v>5161</v>
      </c>
      <c r="I1723" s="3">
        <v>32</v>
      </c>
      <c r="J1723" s="3" t="s">
        <v>5636</v>
      </c>
      <c r="K1723" s="17" t="str">
        <f>HYPERLINK("http://ictvonline.org/taxonomyHistory.asp?taxnode_id=20174851","ICTVonline=20174851")</f>
        <v>ICTVonline=20174851</v>
      </c>
      <c r="L1723" s="3">
        <v>1722</v>
      </c>
    </row>
    <row r="1724" spans="1:12" x14ac:dyDescent="0.15">
      <c r="A1724" s="1" t="s">
        <v>5629</v>
      </c>
      <c r="B1724" s="1" t="s">
        <v>2153</v>
      </c>
      <c r="D1724" s="1" t="s">
        <v>1909</v>
      </c>
      <c r="E1724" s="1" t="s">
        <v>1702</v>
      </c>
      <c r="F1724" s="3">
        <v>1</v>
      </c>
      <c r="G1724" s="8" t="s">
        <v>2777</v>
      </c>
      <c r="H1724" s="8" t="s">
        <v>5161</v>
      </c>
      <c r="I1724" s="3">
        <v>32</v>
      </c>
      <c r="J1724" s="3" t="s">
        <v>5636</v>
      </c>
      <c r="K1724" s="17" t="str">
        <f>HYPERLINK("http://ictvonline.org/taxonomyHistory.asp?taxnode_id=20174852","ICTVonline=20174852")</f>
        <v>ICTVonline=20174852</v>
      </c>
      <c r="L1724" s="3">
        <v>1723</v>
      </c>
    </row>
    <row r="1725" spans="1:12" x14ac:dyDescent="0.15">
      <c r="A1725" s="1" t="s">
        <v>5629</v>
      </c>
      <c r="B1725" s="1" t="s">
        <v>2153</v>
      </c>
      <c r="D1725" s="1" t="s">
        <v>1909</v>
      </c>
      <c r="E1725" s="1" t="s">
        <v>1703</v>
      </c>
      <c r="F1725" s="3">
        <v>0</v>
      </c>
      <c r="G1725" s="8" t="s">
        <v>2777</v>
      </c>
      <c r="H1725" s="8" t="s">
        <v>5161</v>
      </c>
      <c r="I1725" s="3">
        <v>32</v>
      </c>
      <c r="J1725" s="3" t="s">
        <v>5636</v>
      </c>
      <c r="K1725" s="17" t="str">
        <f>HYPERLINK("http://ictvonline.org/taxonomyHistory.asp?taxnode_id=20174853","ICTVonline=20174853")</f>
        <v>ICTVonline=20174853</v>
      </c>
      <c r="L1725" s="3">
        <v>1724</v>
      </c>
    </row>
    <row r="1726" spans="1:12" x14ac:dyDescent="0.15">
      <c r="A1726" s="1" t="s">
        <v>5629</v>
      </c>
      <c r="B1726" s="1" t="s">
        <v>2153</v>
      </c>
      <c r="D1726" s="1" t="s">
        <v>1909</v>
      </c>
      <c r="E1726" s="1" t="s">
        <v>713</v>
      </c>
      <c r="F1726" s="3">
        <v>0</v>
      </c>
      <c r="G1726" s="8" t="s">
        <v>2777</v>
      </c>
      <c r="H1726" s="8" t="s">
        <v>5161</v>
      </c>
      <c r="I1726" s="3">
        <v>32</v>
      </c>
      <c r="J1726" s="3" t="s">
        <v>5636</v>
      </c>
      <c r="K1726" s="17" t="str">
        <f>HYPERLINK("http://ictvonline.org/taxonomyHistory.asp?taxnode_id=20174854","ICTVonline=20174854")</f>
        <v>ICTVonline=20174854</v>
      </c>
      <c r="L1726" s="3">
        <v>1725</v>
      </c>
    </row>
    <row r="1727" spans="1:12" x14ac:dyDescent="0.15">
      <c r="A1727" s="1" t="s">
        <v>5629</v>
      </c>
      <c r="B1727" s="1" t="s">
        <v>2153</v>
      </c>
      <c r="D1727" s="1" t="s">
        <v>1909</v>
      </c>
      <c r="E1727" s="1" t="s">
        <v>1775</v>
      </c>
      <c r="F1727" s="3">
        <v>0</v>
      </c>
      <c r="G1727" s="8" t="s">
        <v>2777</v>
      </c>
      <c r="H1727" s="8" t="s">
        <v>5161</v>
      </c>
      <c r="I1727" s="3">
        <v>32</v>
      </c>
      <c r="J1727" s="3" t="s">
        <v>5636</v>
      </c>
      <c r="K1727" s="17" t="str">
        <f>HYPERLINK("http://ictvonline.org/taxonomyHistory.asp?taxnode_id=20174855","ICTVonline=20174855")</f>
        <v>ICTVonline=20174855</v>
      </c>
      <c r="L1727" s="3">
        <v>1726</v>
      </c>
    </row>
    <row r="1728" spans="1:12" x14ac:dyDescent="0.15">
      <c r="A1728" s="1" t="s">
        <v>5629</v>
      </c>
      <c r="B1728" s="1" t="s">
        <v>2153</v>
      </c>
      <c r="D1728" s="1" t="s">
        <v>1909</v>
      </c>
      <c r="E1728" s="1" t="s">
        <v>5647</v>
      </c>
      <c r="F1728" s="3">
        <v>0</v>
      </c>
      <c r="G1728" s="8" t="s">
        <v>2777</v>
      </c>
      <c r="H1728" s="8" t="s">
        <v>5161</v>
      </c>
      <c r="I1728" s="3">
        <v>32</v>
      </c>
      <c r="J1728" s="3" t="s">
        <v>5636</v>
      </c>
      <c r="K1728" s="17" t="str">
        <f>HYPERLINK("http://ictvonline.org/taxonomyHistory.asp?taxnode_id=20174856","ICTVonline=20174856")</f>
        <v>ICTVonline=20174856</v>
      </c>
      <c r="L1728" s="3">
        <v>1727</v>
      </c>
    </row>
    <row r="1729" spans="1:12" x14ac:dyDescent="0.15">
      <c r="A1729" s="1" t="s">
        <v>5629</v>
      </c>
      <c r="B1729" s="1" t="s">
        <v>2153</v>
      </c>
      <c r="D1729" s="1" t="s">
        <v>1909</v>
      </c>
      <c r="E1729" s="1" t="s">
        <v>1776</v>
      </c>
      <c r="F1729" s="3">
        <v>0</v>
      </c>
      <c r="G1729" s="8" t="s">
        <v>2777</v>
      </c>
      <c r="H1729" s="8" t="s">
        <v>5161</v>
      </c>
      <c r="I1729" s="3">
        <v>32</v>
      </c>
      <c r="J1729" s="3" t="s">
        <v>5636</v>
      </c>
      <c r="K1729" s="17" t="str">
        <f>HYPERLINK("http://ictvonline.org/taxonomyHistory.asp?taxnode_id=20174857","ICTVonline=20174857")</f>
        <v>ICTVonline=20174857</v>
      </c>
      <c r="L1729" s="3">
        <v>1728</v>
      </c>
    </row>
    <row r="1730" spans="1:12" x14ac:dyDescent="0.15">
      <c r="A1730" s="1" t="s">
        <v>5629</v>
      </c>
      <c r="B1730" s="1" t="s">
        <v>2153</v>
      </c>
      <c r="D1730" s="1" t="s">
        <v>1909</v>
      </c>
      <c r="E1730" s="1" t="s">
        <v>5648</v>
      </c>
      <c r="F1730" s="3">
        <v>0</v>
      </c>
      <c r="G1730" s="8" t="s">
        <v>2777</v>
      </c>
      <c r="H1730" s="8" t="s">
        <v>5161</v>
      </c>
      <c r="I1730" s="3">
        <v>32</v>
      </c>
      <c r="J1730" s="3" t="s">
        <v>5636</v>
      </c>
      <c r="K1730" s="17" t="str">
        <f>HYPERLINK("http://ictvonline.org/taxonomyHistory.asp?taxnode_id=20174858","ICTVonline=20174858")</f>
        <v>ICTVonline=20174858</v>
      </c>
      <c r="L1730" s="3">
        <v>1729</v>
      </c>
    </row>
    <row r="1731" spans="1:12" x14ac:dyDescent="0.15">
      <c r="A1731" s="1" t="s">
        <v>5629</v>
      </c>
      <c r="B1731" s="1" t="s">
        <v>2153</v>
      </c>
      <c r="D1731" s="1" t="s">
        <v>716</v>
      </c>
      <c r="E1731" s="1" t="s">
        <v>717</v>
      </c>
      <c r="F1731" s="3">
        <v>0</v>
      </c>
      <c r="G1731" s="8" t="s">
        <v>2777</v>
      </c>
      <c r="H1731" s="8" t="s">
        <v>5161</v>
      </c>
      <c r="I1731" s="3">
        <v>32</v>
      </c>
      <c r="J1731" s="3" t="s">
        <v>5636</v>
      </c>
      <c r="K1731" s="17" t="str">
        <f>HYPERLINK("http://ictvonline.org/taxonomyHistory.asp?taxnode_id=20174860","ICTVonline=20174860")</f>
        <v>ICTVonline=20174860</v>
      </c>
      <c r="L1731" s="3">
        <v>1730</v>
      </c>
    </row>
    <row r="1732" spans="1:12" x14ac:dyDescent="0.15">
      <c r="A1732" s="1" t="s">
        <v>5629</v>
      </c>
      <c r="B1732" s="1" t="s">
        <v>2153</v>
      </c>
      <c r="D1732" s="1" t="s">
        <v>716</v>
      </c>
      <c r="E1732" s="1" t="s">
        <v>718</v>
      </c>
      <c r="F1732" s="3">
        <v>1</v>
      </c>
      <c r="G1732" s="8" t="s">
        <v>2777</v>
      </c>
      <c r="H1732" s="8" t="s">
        <v>5161</v>
      </c>
      <c r="I1732" s="3">
        <v>32</v>
      </c>
      <c r="J1732" s="3" t="s">
        <v>5636</v>
      </c>
      <c r="K1732" s="17" t="str">
        <f>HYPERLINK("http://ictvonline.org/taxonomyHistory.asp?taxnode_id=20174861","ICTVonline=20174861")</f>
        <v>ICTVonline=20174861</v>
      </c>
      <c r="L1732" s="3">
        <v>1731</v>
      </c>
    </row>
    <row r="1733" spans="1:12" x14ac:dyDescent="0.15">
      <c r="A1733" s="1" t="s">
        <v>5629</v>
      </c>
      <c r="B1733" s="1" t="s">
        <v>2153</v>
      </c>
      <c r="D1733" s="1" t="s">
        <v>716</v>
      </c>
      <c r="E1733" s="1" t="s">
        <v>719</v>
      </c>
      <c r="F1733" s="3">
        <v>0</v>
      </c>
      <c r="G1733" s="8" t="s">
        <v>2777</v>
      </c>
      <c r="H1733" s="8" t="s">
        <v>5161</v>
      </c>
      <c r="I1733" s="3">
        <v>32</v>
      </c>
      <c r="J1733" s="3" t="s">
        <v>5636</v>
      </c>
      <c r="K1733" s="17" t="str">
        <f>HYPERLINK("http://ictvonline.org/taxonomyHistory.asp?taxnode_id=20174862","ICTVonline=20174862")</f>
        <v>ICTVonline=20174862</v>
      </c>
      <c r="L1733" s="3">
        <v>1732</v>
      </c>
    </row>
    <row r="1734" spans="1:12" x14ac:dyDescent="0.15">
      <c r="A1734" s="1" t="s">
        <v>5629</v>
      </c>
      <c r="B1734" s="1" t="s">
        <v>2153</v>
      </c>
      <c r="D1734" s="1" t="s">
        <v>716</v>
      </c>
      <c r="E1734" s="1" t="s">
        <v>5649</v>
      </c>
      <c r="F1734" s="3">
        <v>0</v>
      </c>
      <c r="G1734" s="8" t="s">
        <v>2777</v>
      </c>
      <c r="H1734" s="8" t="s">
        <v>5161</v>
      </c>
      <c r="I1734" s="3">
        <v>32</v>
      </c>
      <c r="J1734" s="3" t="s">
        <v>5636</v>
      </c>
      <c r="K1734" s="17" t="str">
        <f>HYPERLINK("http://ictvonline.org/taxonomyHistory.asp?taxnode_id=20174863","ICTVonline=20174863")</f>
        <v>ICTVonline=20174863</v>
      </c>
      <c r="L1734" s="3">
        <v>1733</v>
      </c>
    </row>
    <row r="1735" spans="1:12" x14ac:dyDescent="0.15">
      <c r="A1735" s="1" t="s">
        <v>5629</v>
      </c>
      <c r="B1735" s="1" t="s">
        <v>2153</v>
      </c>
      <c r="D1735" s="1" t="s">
        <v>716</v>
      </c>
      <c r="E1735" s="1" t="s">
        <v>5650</v>
      </c>
      <c r="F1735" s="3">
        <v>0</v>
      </c>
      <c r="G1735" s="8" t="s">
        <v>2777</v>
      </c>
      <c r="H1735" s="8" t="s">
        <v>5161</v>
      </c>
      <c r="I1735" s="3">
        <v>32</v>
      </c>
      <c r="J1735" s="3" t="s">
        <v>5636</v>
      </c>
      <c r="K1735" s="17" t="str">
        <f>HYPERLINK("http://ictvonline.org/taxonomyHistory.asp?taxnode_id=20174864","ICTVonline=20174864")</f>
        <v>ICTVonline=20174864</v>
      </c>
      <c r="L1735" s="3">
        <v>1734</v>
      </c>
    </row>
    <row r="1736" spans="1:12" x14ac:dyDescent="0.15">
      <c r="A1736" s="1" t="s">
        <v>5629</v>
      </c>
      <c r="B1736" s="1" t="s">
        <v>2153</v>
      </c>
      <c r="D1736" s="1" t="s">
        <v>908</v>
      </c>
      <c r="E1736" s="1" t="s">
        <v>1780</v>
      </c>
      <c r="F1736" s="3">
        <v>0</v>
      </c>
      <c r="G1736" s="8" t="s">
        <v>2777</v>
      </c>
      <c r="H1736" s="8" t="s">
        <v>5161</v>
      </c>
      <c r="I1736" s="3">
        <v>32</v>
      </c>
      <c r="J1736" s="3" t="s">
        <v>5636</v>
      </c>
      <c r="K1736" s="17" t="str">
        <f>HYPERLINK("http://ictvonline.org/taxonomyHistory.asp?taxnode_id=20174866","ICTVonline=20174866")</f>
        <v>ICTVonline=20174866</v>
      </c>
      <c r="L1736" s="3">
        <v>1735</v>
      </c>
    </row>
    <row r="1737" spans="1:12" x14ac:dyDescent="0.15">
      <c r="A1737" s="1" t="s">
        <v>5629</v>
      </c>
      <c r="B1737" s="1" t="s">
        <v>361</v>
      </c>
      <c r="C1737" s="1" t="s">
        <v>362</v>
      </c>
      <c r="D1737" s="1" t="s">
        <v>363</v>
      </c>
      <c r="E1737" s="1" t="s">
        <v>242</v>
      </c>
      <c r="F1737" s="3">
        <v>0</v>
      </c>
      <c r="G1737" s="8" t="s">
        <v>2777</v>
      </c>
      <c r="H1737" s="8" t="s">
        <v>5161</v>
      </c>
      <c r="I1737" s="3">
        <v>32</v>
      </c>
      <c r="J1737" s="3" t="s">
        <v>5636</v>
      </c>
      <c r="K1737" s="17" t="str">
        <f>HYPERLINK("http://ictvonline.org/taxonomyHistory.asp?taxnode_id=20174982","ICTVonline=20174982")</f>
        <v>ICTVonline=20174982</v>
      </c>
      <c r="L1737" s="3">
        <v>1736</v>
      </c>
    </row>
    <row r="1738" spans="1:12" x14ac:dyDescent="0.15">
      <c r="A1738" s="1" t="s">
        <v>5629</v>
      </c>
      <c r="B1738" s="1" t="s">
        <v>361</v>
      </c>
      <c r="C1738" s="1" t="s">
        <v>362</v>
      </c>
      <c r="D1738" s="1" t="s">
        <v>363</v>
      </c>
      <c r="E1738" s="1" t="s">
        <v>367</v>
      </c>
      <c r="F1738" s="3">
        <v>1</v>
      </c>
      <c r="G1738" s="8" t="s">
        <v>2777</v>
      </c>
      <c r="H1738" s="8" t="s">
        <v>5161</v>
      </c>
      <c r="I1738" s="3">
        <v>32</v>
      </c>
      <c r="J1738" s="3" t="s">
        <v>5636</v>
      </c>
      <c r="K1738" s="17" t="str">
        <f>HYPERLINK("http://ictvonline.org/taxonomyHistory.asp?taxnode_id=20174983","ICTVonline=20174983")</f>
        <v>ICTVonline=20174983</v>
      </c>
      <c r="L1738" s="3">
        <v>1737</v>
      </c>
    </row>
    <row r="1739" spans="1:12" x14ac:dyDescent="0.15">
      <c r="A1739" s="1" t="s">
        <v>5629</v>
      </c>
      <c r="B1739" s="1" t="s">
        <v>361</v>
      </c>
      <c r="C1739" s="1" t="s">
        <v>362</v>
      </c>
      <c r="D1739" s="1" t="s">
        <v>363</v>
      </c>
      <c r="E1739" s="1" t="s">
        <v>243</v>
      </c>
      <c r="F1739" s="3">
        <v>0</v>
      </c>
      <c r="G1739" s="8" t="s">
        <v>2777</v>
      </c>
      <c r="H1739" s="8" t="s">
        <v>5161</v>
      </c>
      <c r="I1739" s="3">
        <v>32</v>
      </c>
      <c r="J1739" s="3" t="s">
        <v>5636</v>
      </c>
      <c r="K1739" s="17" t="str">
        <f>HYPERLINK("http://ictvonline.org/taxonomyHistory.asp?taxnode_id=20174984","ICTVonline=20174984")</f>
        <v>ICTVonline=20174984</v>
      </c>
      <c r="L1739" s="3">
        <v>1738</v>
      </c>
    </row>
    <row r="1740" spans="1:12" x14ac:dyDescent="0.15">
      <c r="A1740" s="1" t="s">
        <v>5629</v>
      </c>
      <c r="B1740" s="1" t="s">
        <v>361</v>
      </c>
      <c r="C1740" s="1" t="s">
        <v>362</v>
      </c>
      <c r="D1740" s="1" t="s">
        <v>363</v>
      </c>
      <c r="E1740" s="1" t="s">
        <v>244</v>
      </c>
      <c r="F1740" s="3">
        <v>0</v>
      </c>
      <c r="G1740" s="8" t="s">
        <v>2777</v>
      </c>
      <c r="H1740" s="8" t="s">
        <v>5161</v>
      </c>
      <c r="I1740" s="3">
        <v>32</v>
      </c>
      <c r="J1740" s="3" t="s">
        <v>5636</v>
      </c>
      <c r="K1740" s="17" t="str">
        <f>HYPERLINK("http://ictvonline.org/taxonomyHistory.asp?taxnode_id=20174985","ICTVonline=20174985")</f>
        <v>ICTVonline=20174985</v>
      </c>
      <c r="L1740" s="3">
        <v>1739</v>
      </c>
    </row>
    <row r="1741" spans="1:12" x14ac:dyDescent="0.15">
      <c r="A1741" s="1" t="s">
        <v>5629</v>
      </c>
      <c r="B1741" s="1" t="s">
        <v>361</v>
      </c>
      <c r="C1741" s="1" t="s">
        <v>362</v>
      </c>
      <c r="D1741" s="1" t="s">
        <v>363</v>
      </c>
      <c r="E1741" s="1" t="s">
        <v>245</v>
      </c>
      <c r="F1741" s="3">
        <v>0</v>
      </c>
      <c r="G1741" s="8" t="s">
        <v>2777</v>
      </c>
      <c r="H1741" s="8" t="s">
        <v>5161</v>
      </c>
      <c r="I1741" s="3">
        <v>32</v>
      </c>
      <c r="J1741" s="3" t="s">
        <v>5636</v>
      </c>
      <c r="K1741" s="17" t="str">
        <f>HYPERLINK("http://ictvonline.org/taxonomyHistory.asp?taxnode_id=20174986","ICTVonline=20174986")</f>
        <v>ICTVonline=20174986</v>
      </c>
      <c r="L1741" s="3">
        <v>1740</v>
      </c>
    </row>
    <row r="1742" spans="1:12" x14ac:dyDescent="0.15">
      <c r="A1742" s="1" t="s">
        <v>5629</v>
      </c>
      <c r="B1742" s="1" t="s">
        <v>361</v>
      </c>
      <c r="C1742" s="1" t="s">
        <v>362</v>
      </c>
      <c r="D1742" s="1" t="s">
        <v>363</v>
      </c>
      <c r="E1742" s="1" t="s">
        <v>1830</v>
      </c>
      <c r="F1742" s="3">
        <v>0</v>
      </c>
      <c r="G1742" s="8" t="s">
        <v>2777</v>
      </c>
      <c r="H1742" s="8" t="s">
        <v>5161</v>
      </c>
      <c r="I1742" s="3">
        <v>32</v>
      </c>
      <c r="J1742" s="3" t="s">
        <v>5636</v>
      </c>
      <c r="K1742" s="17" t="str">
        <f>HYPERLINK("http://ictvonline.org/taxonomyHistory.asp?taxnode_id=20174987","ICTVonline=20174987")</f>
        <v>ICTVonline=20174987</v>
      </c>
      <c r="L1742" s="3">
        <v>1741</v>
      </c>
    </row>
    <row r="1743" spans="1:12" x14ac:dyDescent="0.15">
      <c r="A1743" s="1" t="s">
        <v>5629</v>
      </c>
      <c r="B1743" s="1" t="s">
        <v>361</v>
      </c>
      <c r="C1743" s="1" t="s">
        <v>362</v>
      </c>
      <c r="D1743" s="1" t="s">
        <v>363</v>
      </c>
      <c r="E1743" s="1" t="s">
        <v>1831</v>
      </c>
      <c r="F1743" s="3">
        <v>0</v>
      </c>
      <c r="G1743" s="8" t="s">
        <v>2777</v>
      </c>
      <c r="H1743" s="8" t="s">
        <v>5161</v>
      </c>
      <c r="I1743" s="3">
        <v>32</v>
      </c>
      <c r="J1743" s="3" t="s">
        <v>5636</v>
      </c>
      <c r="K1743" s="17" t="str">
        <f>HYPERLINK("http://ictvonline.org/taxonomyHistory.asp?taxnode_id=20174988","ICTVonline=20174988")</f>
        <v>ICTVonline=20174988</v>
      </c>
      <c r="L1743" s="3">
        <v>1742</v>
      </c>
    </row>
    <row r="1744" spans="1:12" x14ac:dyDescent="0.15">
      <c r="A1744" s="1" t="s">
        <v>5629</v>
      </c>
      <c r="B1744" s="1" t="s">
        <v>361</v>
      </c>
      <c r="C1744" s="1" t="s">
        <v>362</v>
      </c>
      <c r="D1744" s="1" t="s">
        <v>363</v>
      </c>
      <c r="E1744" s="1" t="s">
        <v>694</v>
      </c>
      <c r="F1744" s="3">
        <v>0</v>
      </c>
      <c r="G1744" s="8" t="s">
        <v>2777</v>
      </c>
      <c r="H1744" s="8" t="s">
        <v>5161</v>
      </c>
      <c r="I1744" s="3">
        <v>32</v>
      </c>
      <c r="J1744" s="3" t="s">
        <v>5636</v>
      </c>
      <c r="K1744" s="17" t="str">
        <f>HYPERLINK("http://ictvonline.org/taxonomyHistory.asp?taxnode_id=20174989","ICTVonline=20174989")</f>
        <v>ICTVonline=20174989</v>
      </c>
      <c r="L1744" s="3">
        <v>1743</v>
      </c>
    </row>
    <row r="1745" spans="1:12" x14ac:dyDescent="0.15">
      <c r="A1745" s="1" t="s">
        <v>5629</v>
      </c>
      <c r="B1745" s="1" t="s">
        <v>361</v>
      </c>
      <c r="C1745" s="1" t="s">
        <v>362</v>
      </c>
      <c r="D1745" s="1" t="s">
        <v>363</v>
      </c>
      <c r="E1745" s="1" t="s">
        <v>695</v>
      </c>
      <c r="F1745" s="3">
        <v>0</v>
      </c>
      <c r="G1745" s="8" t="s">
        <v>2777</v>
      </c>
      <c r="H1745" s="8" t="s">
        <v>5161</v>
      </c>
      <c r="I1745" s="3">
        <v>32</v>
      </c>
      <c r="J1745" s="3" t="s">
        <v>5636</v>
      </c>
      <c r="K1745" s="17" t="str">
        <f>HYPERLINK("http://ictvonline.org/taxonomyHistory.asp?taxnode_id=20174990","ICTVonline=20174990")</f>
        <v>ICTVonline=20174990</v>
      </c>
      <c r="L1745" s="3">
        <v>1744</v>
      </c>
    </row>
    <row r="1746" spans="1:12" x14ac:dyDescent="0.15">
      <c r="A1746" s="1" t="s">
        <v>5629</v>
      </c>
      <c r="B1746" s="1" t="s">
        <v>361</v>
      </c>
      <c r="C1746" s="1" t="s">
        <v>362</v>
      </c>
      <c r="D1746" s="1" t="s">
        <v>696</v>
      </c>
      <c r="E1746" s="1" t="s">
        <v>799</v>
      </c>
      <c r="F1746" s="3">
        <v>0</v>
      </c>
      <c r="G1746" s="8" t="s">
        <v>2777</v>
      </c>
      <c r="H1746" s="8" t="s">
        <v>5161</v>
      </c>
      <c r="I1746" s="3">
        <v>32</v>
      </c>
      <c r="J1746" s="3" t="s">
        <v>5636</v>
      </c>
      <c r="K1746" s="17" t="str">
        <f>HYPERLINK("http://ictvonline.org/taxonomyHistory.asp?taxnode_id=20174992","ICTVonline=20174992")</f>
        <v>ICTVonline=20174992</v>
      </c>
      <c r="L1746" s="3">
        <v>1745</v>
      </c>
    </row>
    <row r="1747" spans="1:12" x14ac:dyDescent="0.15">
      <c r="A1747" s="1" t="s">
        <v>5629</v>
      </c>
      <c r="B1747" s="1" t="s">
        <v>361</v>
      </c>
      <c r="C1747" s="1" t="s">
        <v>362</v>
      </c>
      <c r="D1747" s="1" t="s">
        <v>696</v>
      </c>
      <c r="E1747" s="1" t="s">
        <v>800</v>
      </c>
      <c r="F1747" s="3">
        <v>0</v>
      </c>
      <c r="G1747" s="8" t="s">
        <v>2777</v>
      </c>
      <c r="H1747" s="8" t="s">
        <v>5161</v>
      </c>
      <c r="I1747" s="3">
        <v>32</v>
      </c>
      <c r="J1747" s="3" t="s">
        <v>5636</v>
      </c>
      <c r="K1747" s="17" t="str">
        <f>HYPERLINK("http://ictvonline.org/taxonomyHistory.asp?taxnode_id=20174993","ICTVonline=20174993")</f>
        <v>ICTVonline=20174993</v>
      </c>
      <c r="L1747" s="3">
        <v>1746</v>
      </c>
    </row>
    <row r="1748" spans="1:12" x14ac:dyDescent="0.15">
      <c r="A1748" s="1" t="s">
        <v>5629</v>
      </c>
      <c r="B1748" s="1" t="s">
        <v>361</v>
      </c>
      <c r="C1748" s="1" t="s">
        <v>362</v>
      </c>
      <c r="D1748" s="1" t="s">
        <v>696</v>
      </c>
      <c r="E1748" s="1" t="s">
        <v>801</v>
      </c>
      <c r="F1748" s="3">
        <v>0</v>
      </c>
      <c r="G1748" s="8" t="s">
        <v>2777</v>
      </c>
      <c r="H1748" s="8" t="s">
        <v>5161</v>
      </c>
      <c r="I1748" s="3">
        <v>32</v>
      </c>
      <c r="J1748" s="3" t="s">
        <v>5636</v>
      </c>
      <c r="K1748" s="17" t="str">
        <f>HYPERLINK("http://ictvonline.org/taxonomyHistory.asp?taxnode_id=20174994","ICTVonline=20174994")</f>
        <v>ICTVonline=20174994</v>
      </c>
      <c r="L1748" s="3">
        <v>1747</v>
      </c>
    </row>
    <row r="1749" spans="1:12" x14ac:dyDescent="0.15">
      <c r="A1749" s="1" t="s">
        <v>5629</v>
      </c>
      <c r="B1749" s="1" t="s">
        <v>361</v>
      </c>
      <c r="C1749" s="1" t="s">
        <v>362</v>
      </c>
      <c r="D1749" s="1" t="s">
        <v>696</v>
      </c>
      <c r="E1749" s="1" t="s">
        <v>796</v>
      </c>
      <c r="F1749" s="3">
        <v>1</v>
      </c>
      <c r="G1749" s="8" t="s">
        <v>2777</v>
      </c>
      <c r="H1749" s="8" t="s">
        <v>5161</v>
      </c>
      <c r="I1749" s="3">
        <v>32</v>
      </c>
      <c r="J1749" s="3" t="s">
        <v>5636</v>
      </c>
      <c r="K1749" s="17" t="str">
        <f>HYPERLINK("http://ictvonline.org/taxonomyHistory.asp?taxnode_id=20174995","ICTVonline=20174995")</f>
        <v>ICTVonline=20174995</v>
      </c>
      <c r="L1749" s="3">
        <v>1748</v>
      </c>
    </row>
    <row r="1750" spans="1:12" x14ac:dyDescent="0.15">
      <c r="A1750" s="1" t="s">
        <v>5629</v>
      </c>
      <c r="B1750" s="1" t="s">
        <v>361</v>
      </c>
      <c r="C1750" s="1" t="s">
        <v>362</v>
      </c>
      <c r="D1750" s="1" t="s">
        <v>696</v>
      </c>
      <c r="E1750" s="1" t="s">
        <v>797</v>
      </c>
      <c r="F1750" s="3">
        <v>0</v>
      </c>
      <c r="G1750" s="8" t="s">
        <v>2777</v>
      </c>
      <c r="H1750" s="8" t="s">
        <v>5161</v>
      </c>
      <c r="I1750" s="3">
        <v>32</v>
      </c>
      <c r="J1750" s="3" t="s">
        <v>5636</v>
      </c>
      <c r="K1750" s="17" t="str">
        <f>HYPERLINK("http://ictvonline.org/taxonomyHistory.asp?taxnode_id=20174996","ICTVonline=20174996")</f>
        <v>ICTVonline=20174996</v>
      </c>
      <c r="L1750" s="3">
        <v>1749</v>
      </c>
    </row>
    <row r="1751" spans="1:12" x14ac:dyDescent="0.15">
      <c r="A1751" s="1" t="s">
        <v>5629</v>
      </c>
      <c r="B1751" s="1" t="s">
        <v>361</v>
      </c>
      <c r="C1751" s="1" t="s">
        <v>362</v>
      </c>
      <c r="D1751" s="1" t="s">
        <v>798</v>
      </c>
      <c r="E1751" s="1" t="s">
        <v>1274</v>
      </c>
      <c r="F1751" s="3">
        <v>1</v>
      </c>
      <c r="G1751" s="8" t="s">
        <v>2777</v>
      </c>
      <c r="H1751" s="8" t="s">
        <v>5161</v>
      </c>
      <c r="I1751" s="3">
        <v>32</v>
      </c>
      <c r="J1751" s="3" t="s">
        <v>5636</v>
      </c>
      <c r="K1751" s="17" t="str">
        <f>HYPERLINK("http://ictvonline.org/taxonomyHistory.asp?taxnode_id=20174998","ICTVonline=20174998")</f>
        <v>ICTVonline=20174998</v>
      </c>
      <c r="L1751" s="3">
        <v>1750</v>
      </c>
    </row>
    <row r="1752" spans="1:12" x14ac:dyDescent="0.15">
      <c r="A1752" s="1" t="s">
        <v>5629</v>
      </c>
      <c r="B1752" s="1" t="s">
        <v>361</v>
      </c>
      <c r="C1752" s="1" t="s">
        <v>362</v>
      </c>
      <c r="D1752" s="1" t="s">
        <v>798</v>
      </c>
      <c r="E1752" s="1" t="s">
        <v>1275</v>
      </c>
      <c r="F1752" s="3">
        <v>0</v>
      </c>
      <c r="G1752" s="8" t="s">
        <v>2777</v>
      </c>
      <c r="H1752" s="8" t="s">
        <v>5161</v>
      </c>
      <c r="I1752" s="3">
        <v>32</v>
      </c>
      <c r="J1752" s="3" t="s">
        <v>5636</v>
      </c>
      <c r="K1752" s="17" t="str">
        <f>HYPERLINK("http://ictvonline.org/taxonomyHistory.asp?taxnode_id=20174999","ICTVonline=20174999")</f>
        <v>ICTVonline=20174999</v>
      </c>
      <c r="L1752" s="3">
        <v>1751</v>
      </c>
    </row>
    <row r="1753" spans="1:12" x14ac:dyDescent="0.15">
      <c r="A1753" s="1" t="s">
        <v>5629</v>
      </c>
      <c r="B1753" s="1" t="s">
        <v>361</v>
      </c>
      <c r="C1753" s="1" t="s">
        <v>362</v>
      </c>
      <c r="D1753" s="1" t="s">
        <v>798</v>
      </c>
      <c r="E1753" s="1" t="s">
        <v>1276</v>
      </c>
      <c r="F1753" s="3">
        <v>0</v>
      </c>
      <c r="G1753" s="8" t="s">
        <v>2777</v>
      </c>
      <c r="H1753" s="8" t="s">
        <v>5161</v>
      </c>
      <c r="I1753" s="3">
        <v>32</v>
      </c>
      <c r="J1753" s="3" t="s">
        <v>5636</v>
      </c>
      <c r="K1753" s="17" t="str">
        <f>HYPERLINK("http://ictvonline.org/taxonomyHistory.asp?taxnode_id=20175000","ICTVonline=20175000")</f>
        <v>ICTVonline=20175000</v>
      </c>
      <c r="L1753" s="3">
        <v>1752</v>
      </c>
    </row>
    <row r="1754" spans="1:12" x14ac:dyDescent="0.15">
      <c r="A1754" s="1" t="s">
        <v>5629</v>
      </c>
      <c r="B1754" s="1" t="s">
        <v>361</v>
      </c>
      <c r="C1754" s="1" t="s">
        <v>362</v>
      </c>
      <c r="D1754" s="1" t="s">
        <v>798</v>
      </c>
      <c r="E1754" s="1" t="s">
        <v>802</v>
      </c>
      <c r="F1754" s="3">
        <v>0</v>
      </c>
      <c r="G1754" s="8" t="s">
        <v>2777</v>
      </c>
      <c r="H1754" s="8" t="s">
        <v>5161</v>
      </c>
      <c r="I1754" s="3">
        <v>32</v>
      </c>
      <c r="J1754" s="3" t="s">
        <v>5636</v>
      </c>
      <c r="K1754" s="17" t="str">
        <f>HYPERLINK("http://ictvonline.org/taxonomyHistory.asp?taxnode_id=20175001","ICTVonline=20175001")</f>
        <v>ICTVonline=20175001</v>
      </c>
      <c r="L1754" s="3">
        <v>1753</v>
      </c>
    </row>
    <row r="1755" spans="1:12" x14ac:dyDescent="0.15">
      <c r="A1755" s="1" t="s">
        <v>5629</v>
      </c>
      <c r="B1755" s="1" t="s">
        <v>361</v>
      </c>
      <c r="C1755" s="1" t="s">
        <v>362</v>
      </c>
      <c r="D1755" s="1" t="s">
        <v>803</v>
      </c>
      <c r="E1755" s="1" t="s">
        <v>804</v>
      </c>
      <c r="F1755" s="3">
        <v>1</v>
      </c>
      <c r="G1755" s="8" t="s">
        <v>2777</v>
      </c>
      <c r="H1755" s="8" t="s">
        <v>5161</v>
      </c>
      <c r="I1755" s="3">
        <v>32</v>
      </c>
      <c r="J1755" s="3" t="s">
        <v>5636</v>
      </c>
      <c r="K1755" s="17" t="str">
        <f>HYPERLINK("http://ictvonline.org/taxonomyHistory.asp?taxnode_id=20175003","ICTVonline=20175003")</f>
        <v>ICTVonline=20175003</v>
      </c>
      <c r="L1755" s="3">
        <v>1754</v>
      </c>
    </row>
    <row r="1756" spans="1:12" x14ac:dyDescent="0.15">
      <c r="A1756" s="1" t="s">
        <v>5629</v>
      </c>
      <c r="B1756" s="1" t="s">
        <v>361</v>
      </c>
      <c r="C1756" s="1" t="s">
        <v>362</v>
      </c>
      <c r="D1756" s="1" t="s">
        <v>803</v>
      </c>
      <c r="E1756" s="1" t="s">
        <v>805</v>
      </c>
      <c r="F1756" s="3">
        <v>0</v>
      </c>
      <c r="G1756" s="8" t="s">
        <v>2777</v>
      </c>
      <c r="H1756" s="8" t="s">
        <v>5161</v>
      </c>
      <c r="I1756" s="3">
        <v>32</v>
      </c>
      <c r="J1756" s="3" t="s">
        <v>5636</v>
      </c>
      <c r="K1756" s="17" t="str">
        <f>HYPERLINK("http://ictvonline.org/taxonomyHistory.asp?taxnode_id=20175004","ICTVonline=20175004")</f>
        <v>ICTVonline=20175004</v>
      </c>
      <c r="L1756" s="3">
        <v>1755</v>
      </c>
    </row>
    <row r="1757" spans="1:12" x14ac:dyDescent="0.15">
      <c r="A1757" s="1" t="s">
        <v>5629</v>
      </c>
      <c r="B1757" s="1" t="s">
        <v>361</v>
      </c>
      <c r="C1757" s="1" t="s">
        <v>362</v>
      </c>
      <c r="D1757" s="1" t="s">
        <v>803</v>
      </c>
      <c r="E1757" s="1" t="s">
        <v>806</v>
      </c>
      <c r="F1757" s="3">
        <v>0</v>
      </c>
      <c r="G1757" s="8" t="s">
        <v>2777</v>
      </c>
      <c r="H1757" s="8" t="s">
        <v>5161</v>
      </c>
      <c r="I1757" s="3">
        <v>32</v>
      </c>
      <c r="J1757" s="3" t="s">
        <v>5636</v>
      </c>
      <c r="K1757" s="17" t="str">
        <f>HYPERLINK("http://ictvonline.org/taxonomyHistory.asp?taxnode_id=20175005","ICTVonline=20175005")</f>
        <v>ICTVonline=20175005</v>
      </c>
      <c r="L1757" s="3">
        <v>1756</v>
      </c>
    </row>
    <row r="1758" spans="1:12" x14ac:dyDescent="0.15">
      <c r="A1758" s="1" t="s">
        <v>5629</v>
      </c>
      <c r="B1758" s="1" t="s">
        <v>361</v>
      </c>
      <c r="C1758" s="1" t="s">
        <v>362</v>
      </c>
      <c r="D1758" s="1" t="s">
        <v>807</v>
      </c>
      <c r="E1758" s="1" t="s">
        <v>808</v>
      </c>
      <c r="F1758" s="3">
        <v>0</v>
      </c>
      <c r="G1758" s="8" t="s">
        <v>2777</v>
      </c>
      <c r="H1758" s="8" t="s">
        <v>5161</v>
      </c>
      <c r="I1758" s="3">
        <v>32</v>
      </c>
      <c r="J1758" s="3" t="s">
        <v>5636</v>
      </c>
      <c r="K1758" s="17" t="str">
        <f>HYPERLINK("http://ictvonline.org/taxonomyHistory.asp?taxnode_id=20175007","ICTVonline=20175007")</f>
        <v>ICTVonline=20175007</v>
      </c>
      <c r="L1758" s="3">
        <v>1757</v>
      </c>
    </row>
    <row r="1759" spans="1:12" x14ac:dyDescent="0.15">
      <c r="A1759" s="1" t="s">
        <v>5629</v>
      </c>
      <c r="B1759" s="1" t="s">
        <v>361</v>
      </c>
      <c r="C1759" s="1" t="s">
        <v>362</v>
      </c>
      <c r="D1759" s="1" t="s">
        <v>807</v>
      </c>
      <c r="E1759" s="1" t="s">
        <v>809</v>
      </c>
      <c r="F1759" s="3">
        <v>0</v>
      </c>
      <c r="G1759" s="8" t="s">
        <v>2777</v>
      </c>
      <c r="H1759" s="8" t="s">
        <v>5161</v>
      </c>
      <c r="I1759" s="3">
        <v>32</v>
      </c>
      <c r="J1759" s="3" t="s">
        <v>5636</v>
      </c>
      <c r="K1759" s="17" t="str">
        <f>HYPERLINK("http://ictvonline.org/taxonomyHistory.asp?taxnode_id=20175008","ICTVonline=20175008")</f>
        <v>ICTVonline=20175008</v>
      </c>
      <c r="L1759" s="3">
        <v>1758</v>
      </c>
    </row>
    <row r="1760" spans="1:12" x14ac:dyDescent="0.15">
      <c r="A1760" s="1" t="s">
        <v>5629</v>
      </c>
      <c r="B1760" s="1" t="s">
        <v>361</v>
      </c>
      <c r="C1760" s="1" t="s">
        <v>362</v>
      </c>
      <c r="D1760" s="1" t="s">
        <v>807</v>
      </c>
      <c r="E1760" s="1" t="s">
        <v>810</v>
      </c>
      <c r="F1760" s="3">
        <v>0</v>
      </c>
      <c r="G1760" s="8" t="s">
        <v>2777</v>
      </c>
      <c r="H1760" s="8" t="s">
        <v>5161</v>
      </c>
      <c r="I1760" s="3">
        <v>32</v>
      </c>
      <c r="J1760" s="3" t="s">
        <v>5636</v>
      </c>
      <c r="K1760" s="17" t="str">
        <f>HYPERLINK("http://ictvonline.org/taxonomyHistory.asp?taxnode_id=20175009","ICTVonline=20175009")</f>
        <v>ICTVonline=20175009</v>
      </c>
      <c r="L1760" s="3">
        <v>1759</v>
      </c>
    </row>
    <row r="1761" spans="1:12" x14ac:dyDescent="0.15">
      <c r="A1761" s="1" t="s">
        <v>5629</v>
      </c>
      <c r="B1761" s="1" t="s">
        <v>361</v>
      </c>
      <c r="C1761" s="1" t="s">
        <v>362</v>
      </c>
      <c r="D1761" s="1" t="s">
        <v>807</v>
      </c>
      <c r="E1761" s="1" t="s">
        <v>1288</v>
      </c>
      <c r="F1761" s="3">
        <v>0</v>
      </c>
      <c r="G1761" s="8" t="s">
        <v>2777</v>
      </c>
      <c r="H1761" s="8" t="s">
        <v>5161</v>
      </c>
      <c r="I1761" s="3">
        <v>32</v>
      </c>
      <c r="J1761" s="3" t="s">
        <v>5636</v>
      </c>
      <c r="K1761" s="17" t="str">
        <f>HYPERLINK("http://ictvonline.org/taxonomyHistory.asp?taxnode_id=20175010","ICTVonline=20175010")</f>
        <v>ICTVonline=20175010</v>
      </c>
      <c r="L1761" s="3">
        <v>1760</v>
      </c>
    </row>
    <row r="1762" spans="1:12" x14ac:dyDescent="0.15">
      <c r="A1762" s="1" t="s">
        <v>5629</v>
      </c>
      <c r="B1762" s="1" t="s">
        <v>361</v>
      </c>
      <c r="C1762" s="1" t="s">
        <v>362</v>
      </c>
      <c r="D1762" s="1" t="s">
        <v>807</v>
      </c>
      <c r="E1762" s="1" t="s">
        <v>1289</v>
      </c>
      <c r="F1762" s="3">
        <v>0</v>
      </c>
      <c r="G1762" s="8" t="s">
        <v>2777</v>
      </c>
      <c r="H1762" s="8" t="s">
        <v>5161</v>
      </c>
      <c r="I1762" s="3">
        <v>32</v>
      </c>
      <c r="J1762" s="3" t="s">
        <v>5636</v>
      </c>
      <c r="K1762" s="17" t="str">
        <f>HYPERLINK("http://ictvonline.org/taxonomyHistory.asp?taxnode_id=20175011","ICTVonline=20175011")</f>
        <v>ICTVonline=20175011</v>
      </c>
      <c r="L1762" s="3">
        <v>1761</v>
      </c>
    </row>
    <row r="1763" spans="1:12" x14ac:dyDescent="0.15">
      <c r="A1763" s="1" t="s">
        <v>5629</v>
      </c>
      <c r="B1763" s="1" t="s">
        <v>361</v>
      </c>
      <c r="C1763" s="1" t="s">
        <v>362</v>
      </c>
      <c r="D1763" s="1" t="s">
        <v>807</v>
      </c>
      <c r="E1763" s="1" t="s">
        <v>1290</v>
      </c>
      <c r="F1763" s="3">
        <v>0</v>
      </c>
      <c r="G1763" s="8" t="s">
        <v>2777</v>
      </c>
      <c r="H1763" s="8" t="s">
        <v>5161</v>
      </c>
      <c r="I1763" s="3">
        <v>32</v>
      </c>
      <c r="J1763" s="3" t="s">
        <v>5636</v>
      </c>
      <c r="K1763" s="17" t="str">
        <f>HYPERLINK("http://ictvonline.org/taxonomyHistory.asp?taxnode_id=20175012","ICTVonline=20175012")</f>
        <v>ICTVonline=20175012</v>
      </c>
      <c r="L1763" s="3">
        <v>1762</v>
      </c>
    </row>
    <row r="1764" spans="1:12" x14ac:dyDescent="0.15">
      <c r="A1764" s="1" t="s">
        <v>5629</v>
      </c>
      <c r="B1764" s="1" t="s">
        <v>361</v>
      </c>
      <c r="C1764" s="1" t="s">
        <v>362</v>
      </c>
      <c r="D1764" s="1" t="s">
        <v>807</v>
      </c>
      <c r="E1764" s="1" t="s">
        <v>1291</v>
      </c>
      <c r="F1764" s="3">
        <v>0</v>
      </c>
      <c r="G1764" s="8" t="s">
        <v>2777</v>
      </c>
      <c r="H1764" s="8" t="s">
        <v>5161</v>
      </c>
      <c r="I1764" s="3">
        <v>32</v>
      </c>
      <c r="J1764" s="3" t="s">
        <v>5636</v>
      </c>
      <c r="K1764" s="17" t="str">
        <f>HYPERLINK("http://ictvonline.org/taxonomyHistory.asp?taxnode_id=20175013","ICTVonline=20175013")</f>
        <v>ICTVonline=20175013</v>
      </c>
      <c r="L1764" s="3">
        <v>1763</v>
      </c>
    </row>
    <row r="1765" spans="1:12" x14ac:dyDescent="0.15">
      <c r="A1765" s="1" t="s">
        <v>5629</v>
      </c>
      <c r="B1765" s="1" t="s">
        <v>361</v>
      </c>
      <c r="C1765" s="1" t="s">
        <v>362</v>
      </c>
      <c r="D1765" s="1" t="s">
        <v>807</v>
      </c>
      <c r="E1765" s="1" t="s">
        <v>1292</v>
      </c>
      <c r="F1765" s="3">
        <v>0</v>
      </c>
      <c r="G1765" s="8" t="s">
        <v>2777</v>
      </c>
      <c r="H1765" s="8" t="s">
        <v>5161</v>
      </c>
      <c r="I1765" s="3">
        <v>32</v>
      </c>
      <c r="J1765" s="3" t="s">
        <v>5636</v>
      </c>
      <c r="K1765" s="17" t="str">
        <f>HYPERLINK("http://ictvonline.org/taxonomyHistory.asp?taxnode_id=20175014","ICTVonline=20175014")</f>
        <v>ICTVonline=20175014</v>
      </c>
      <c r="L1765" s="3">
        <v>1764</v>
      </c>
    </row>
    <row r="1766" spans="1:12" x14ac:dyDescent="0.15">
      <c r="A1766" s="1" t="s">
        <v>5629</v>
      </c>
      <c r="B1766" s="1" t="s">
        <v>361</v>
      </c>
      <c r="C1766" s="1" t="s">
        <v>362</v>
      </c>
      <c r="D1766" s="1" t="s">
        <v>807</v>
      </c>
      <c r="E1766" s="1" t="s">
        <v>741</v>
      </c>
      <c r="F1766" s="3">
        <v>0</v>
      </c>
      <c r="G1766" s="8" t="s">
        <v>2777</v>
      </c>
      <c r="H1766" s="8" t="s">
        <v>5161</v>
      </c>
      <c r="I1766" s="3">
        <v>32</v>
      </c>
      <c r="J1766" s="3" t="s">
        <v>5636</v>
      </c>
      <c r="K1766" s="17" t="str">
        <f>HYPERLINK("http://ictvonline.org/taxonomyHistory.asp?taxnode_id=20175015","ICTVonline=20175015")</f>
        <v>ICTVonline=20175015</v>
      </c>
      <c r="L1766" s="3">
        <v>1765</v>
      </c>
    </row>
    <row r="1767" spans="1:12" x14ac:dyDescent="0.15">
      <c r="A1767" s="1" t="s">
        <v>5629</v>
      </c>
      <c r="B1767" s="1" t="s">
        <v>361</v>
      </c>
      <c r="C1767" s="1" t="s">
        <v>362</v>
      </c>
      <c r="D1767" s="1" t="s">
        <v>807</v>
      </c>
      <c r="E1767" s="1" t="s">
        <v>5065</v>
      </c>
      <c r="F1767" s="3">
        <v>0</v>
      </c>
      <c r="G1767" s="8" t="s">
        <v>2777</v>
      </c>
      <c r="H1767" s="8" t="s">
        <v>5161</v>
      </c>
      <c r="I1767" s="3">
        <v>32</v>
      </c>
      <c r="J1767" s="3" t="s">
        <v>5636</v>
      </c>
      <c r="K1767" s="17" t="str">
        <f>HYPERLINK("http://ictvonline.org/taxonomyHistory.asp?taxnode_id=20175016","ICTVonline=20175016")</f>
        <v>ICTVonline=20175016</v>
      </c>
      <c r="L1767" s="3">
        <v>1766</v>
      </c>
    </row>
    <row r="1768" spans="1:12" x14ac:dyDescent="0.15">
      <c r="A1768" s="1" t="s">
        <v>5629</v>
      </c>
      <c r="B1768" s="1" t="s">
        <v>361</v>
      </c>
      <c r="C1768" s="1" t="s">
        <v>362</v>
      </c>
      <c r="D1768" s="1" t="s">
        <v>807</v>
      </c>
      <c r="E1768" s="1" t="s">
        <v>1205</v>
      </c>
      <c r="F1768" s="3">
        <v>0</v>
      </c>
      <c r="G1768" s="8" t="s">
        <v>2777</v>
      </c>
      <c r="H1768" s="8" t="s">
        <v>5161</v>
      </c>
      <c r="I1768" s="3">
        <v>32</v>
      </c>
      <c r="J1768" s="3" t="s">
        <v>5636</v>
      </c>
      <c r="K1768" s="17" t="str">
        <f>HYPERLINK("http://ictvonline.org/taxonomyHistory.asp?taxnode_id=20175017","ICTVonline=20175017")</f>
        <v>ICTVonline=20175017</v>
      </c>
      <c r="L1768" s="3">
        <v>1767</v>
      </c>
    </row>
    <row r="1769" spans="1:12" x14ac:dyDescent="0.15">
      <c r="A1769" s="1" t="s">
        <v>5629</v>
      </c>
      <c r="B1769" s="1" t="s">
        <v>361</v>
      </c>
      <c r="C1769" s="1" t="s">
        <v>362</v>
      </c>
      <c r="D1769" s="1" t="s">
        <v>807</v>
      </c>
      <c r="E1769" s="1" t="s">
        <v>1206</v>
      </c>
      <c r="F1769" s="3">
        <v>1</v>
      </c>
      <c r="G1769" s="8" t="s">
        <v>2777</v>
      </c>
      <c r="H1769" s="8" t="s">
        <v>5161</v>
      </c>
      <c r="I1769" s="3">
        <v>32</v>
      </c>
      <c r="J1769" s="3" t="s">
        <v>5636</v>
      </c>
      <c r="K1769" s="17" t="str">
        <f>HYPERLINK("http://ictvonline.org/taxonomyHistory.asp?taxnode_id=20175018","ICTVonline=20175018")</f>
        <v>ICTVonline=20175018</v>
      </c>
      <c r="L1769" s="3">
        <v>1768</v>
      </c>
    </row>
    <row r="1770" spans="1:12" x14ac:dyDescent="0.15">
      <c r="A1770" s="1" t="s">
        <v>5629</v>
      </c>
      <c r="B1770" s="1" t="s">
        <v>361</v>
      </c>
      <c r="C1770" s="1" t="s">
        <v>362</v>
      </c>
      <c r="D1770" s="1" t="s">
        <v>807</v>
      </c>
      <c r="E1770" s="1" t="s">
        <v>1207</v>
      </c>
      <c r="F1770" s="3">
        <v>0</v>
      </c>
      <c r="G1770" s="8" t="s">
        <v>2777</v>
      </c>
      <c r="H1770" s="8" t="s">
        <v>5161</v>
      </c>
      <c r="I1770" s="3">
        <v>32</v>
      </c>
      <c r="J1770" s="3" t="s">
        <v>5636</v>
      </c>
      <c r="K1770" s="17" t="str">
        <f>HYPERLINK("http://ictvonline.org/taxonomyHistory.asp?taxnode_id=20175019","ICTVonline=20175019")</f>
        <v>ICTVonline=20175019</v>
      </c>
      <c r="L1770" s="3">
        <v>1769</v>
      </c>
    </row>
    <row r="1771" spans="1:12" x14ac:dyDescent="0.15">
      <c r="A1771" s="1" t="s">
        <v>5629</v>
      </c>
      <c r="B1771" s="1" t="s">
        <v>361</v>
      </c>
      <c r="C1771" s="1" t="s">
        <v>362</v>
      </c>
      <c r="D1771" s="1" t="s">
        <v>807</v>
      </c>
      <c r="E1771" s="1" t="s">
        <v>1208</v>
      </c>
      <c r="F1771" s="3">
        <v>0</v>
      </c>
      <c r="G1771" s="8" t="s">
        <v>2777</v>
      </c>
      <c r="H1771" s="8" t="s">
        <v>5161</v>
      </c>
      <c r="I1771" s="3">
        <v>32</v>
      </c>
      <c r="J1771" s="3" t="s">
        <v>5636</v>
      </c>
      <c r="K1771" s="17" t="str">
        <f>HYPERLINK("http://ictvonline.org/taxonomyHistory.asp?taxnode_id=20175020","ICTVonline=20175020")</f>
        <v>ICTVonline=20175020</v>
      </c>
      <c r="L1771" s="3">
        <v>1770</v>
      </c>
    </row>
    <row r="1772" spans="1:12" x14ac:dyDescent="0.15">
      <c r="A1772" s="1" t="s">
        <v>5629</v>
      </c>
      <c r="B1772" s="1" t="s">
        <v>361</v>
      </c>
      <c r="C1772" s="1" t="s">
        <v>362</v>
      </c>
      <c r="D1772" s="1" t="s">
        <v>807</v>
      </c>
      <c r="E1772" s="1" t="s">
        <v>1438</v>
      </c>
      <c r="F1772" s="3">
        <v>0</v>
      </c>
      <c r="G1772" s="8" t="s">
        <v>2777</v>
      </c>
      <c r="H1772" s="8" t="s">
        <v>5161</v>
      </c>
      <c r="I1772" s="3">
        <v>32</v>
      </c>
      <c r="J1772" s="3" t="s">
        <v>5636</v>
      </c>
      <c r="K1772" s="17" t="str">
        <f>HYPERLINK("http://ictvonline.org/taxonomyHistory.asp?taxnode_id=20175021","ICTVonline=20175021")</f>
        <v>ICTVonline=20175021</v>
      </c>
      <c r="L1772" s="3">
        <v>1771</v>
      </c>
    </row>
    <row r="1773" spans="1:12" x14ac:dyDescent="0.15">
      <c r="A1773" s="1" t="s">
        <v>5629</v>
      </c>
      <c r="B1773" s="1" t="s">
        <v>361</v>
      </c>
      <c r="C1773" s="1" t="s">
        <v>362</v>
      </c>
      <c r="D1773" s="1" t="s">
        <v>807</v>
      </c>
      <c r="E1773" s="1" t="s">
        <v>1439</v>
      </c>
      <c r="F1773" s="3">
        <v>0</v>
      </c>
      <c r="G1773" s="8" t="s">
        <v>2777</v>
      </c>
      <c r="H1773" s="8" t="s">
        <v>5161</v>
      </c>
      <c r="I1773" s="3">
        <v>32</v>
      </c>
      <c r="J1773" s="3" t="s">
        <v>5636</v>
      </c>
      <c r="K1773" s="17" t="str">
        <f>HYPERLINK("http://ictvonline.org/taxonomyHistory.asp?taxnode_id=20175022","ICTVonline=20175022")</f>
        <v>ICTVonline=20175022</v>
      </c>
      <c r="L1773" s="3">
        <v>1772</v>
      </c>
    </row>
    <row r="1774" spans="1:12" x14ac:dyDescent="0.15">
      <c r="A1774" s="1" t="s">
        <v>5629</v>
      </c>
      <c r="B1774" s="1" t="s">
        <v>361</v>
      </c>
      <c r="C1774" s="1" t="s">
        <v>362</v>
      </c>
      <c r="D1774" s="1" t="s">
        <v>807</v>
      </c>
      <c r="E1774" s="1" t="s">
        <v>1440</v>
      </c>
      <c r="F1774" s="3">
        <v>0</v>
      </c>
      <c r="G1774" s="8" t="s">
        <v>2777</v>
      </c>
      <c r="H1774" s="8" t="s">
        <v>5161</v>
      </c>
      <c r="I1774" s="3">
        <v>32</v>
      </c>
      <c r="J1774" s="3" t="s">
        <v>5636</v>
      </c>
      <c r="K1774" s="17" t="str">
        <f>HYPERLINK("http://ictvonline.org/taxonomyHistory.asp?taxnode_id=20175023","ICTVonline=20175023")</f>
        <v>ICTVonline=20175023</v>
      </c>
      <c r="L1774" s="3">
        <v>1773</v>
      </c>
    </row>
    <row r="1775" spans="1:12" x14ac:dyDescent="0.15">
      <c r="A1775" s="1" t="s">
        <v>5629</v>
      </c>
      <c r="B1775" s="1" t="s">
        <v>361</v>
      </c>
      <c r="C1775" s="1" t="s">
        <v>362</v>
      </c>
      <c r="D1775" s="1" t="s">
        <v>807</v>
      </c>
      <c r="E1775" s="1" t="s">
        <v>1441</v>
      </c>
      <c r="F1775" s="3">
        <v>0</v>
      </c>
      <c r="G1775" s="8" t="s">
        <v>2777</v>
      </c>
      <c r="H1775" s="8" t="s">
        <v>5161</v>
      </c>
      <c r="I1775" s="3">
        <v>32</v>
      </c>
      <c r="J1775" s="3" t="s">
        <v>5636</v>
      </c>
      <c r="K1775" s="17" t="str">
        <f>HYPERLINK("http://ictvonline.org/taxonomyHistory.asp?taxnode_id=20175024","ICTVonline=20175024")</f>
        <v>ICTVonline=20175024</v>
      </c>
      <c r="L1775" s="3">
        <v>1774</v>
      </c>
    </row>
    <row r="1776" spans="1:12" x14ac:dyDescent="0.15">
      <c r="A1776" s="1" t="s">
        <v>5629</v>
      </c>
      <c r="B1776" s="1" t="s">
        <v>361</v>
      </c>
      <c r="C1776" s="1" t="s">
        <v>362</v>
      </c>
      <c r="D1776" s="1" t="s">
        <v>1442</v>
      </c>
      <c r="E1776" s="1" t="s">
        <v>1378</v>
      </c>
      <c r="F1776" s="3">
        <v>0</v>
      </c>
      <c r="G1776" s="8" t="s">
        <v>2777</v>
      </c>
      <c r="H1776" s="8" t="s">
        <v>5161</v>
      </c>
      <c r="I1776" s="3">
        <v>32</v>
      </c>
      <c r="J1776" s="3" t="s">
        <v>5636</v>
      </c>
      <c r="K1776" s="17" t="str">
        <f>HYPERLINK("http://ictvonline.org/taxonomyHistory.asp?taxnode_id=20175026","ICTVonline=20175026")</f>
        <v>ICTVonline=20175026</v>
      </c>
      <c r="L1776" s="3">
        <v>1775</v>
      </c>
    </row>
    <row r="1777" spans="1:12" x14ac:dyDescent="0.15">
      <c r="A1777" s="1" t="s">
        <v>5629</v>
      </c>
      <c r="B1777" s="1" t="s">
        <v>361</v>
      </c>
      <c r="C1777" s="1" t="s">
        <v>362</v>
      </c>
      <c r="D1777" s="1" t="s">
        <v>1442</v>
      </c>
      <c r="E1777" s="1" t="s">
        <v>1215</v>
      </c>
      <c r="F1777" s="3">
        <v>0</v>
      </c>
      <c r="G1777" s="8" t="s">
        <v>2777</v>
      </c>
      <c r="H1777" s="8" t="s">
        <v>5161</v>
      </c>
      <c r="I1777" s="3">
        <v>32</v>
      </c>
      <c r="J1777" s="3" t="s">
        <v>5636</v>
      </c>
      <c r="K1777" s="17" t="str">
        <f>HYPERLINK("http://ictvonline.org/taxonomyHistory.asp?taxnode_id=20175027","ICTVonline=20175027")</f>
        <v>ICTVonline=20175027</v>
      </c>
      <c r="L1777" s="3">
        <v>1776</v>
      </c>
    </row>
    <row r="1778" spans="1:12" x14ac:dyDescent="0.15">
      <c r="A1778" s="1" t="s">
        <v>5629</v>
      </c>
      <c r="B1778" s="1" t="s">
        <v>361</v>
      </c>
      <c r="C1778" s="1" t="s">
        <v>362</v>
      </c>
      <c r="D1778" s="1" t="s">
        <v>1442</v>
      </c>
      <c r="E1778" s="1" t="s">
        <v>1216</v>
      </c>
      <c r="F1778" s="3">
        <v>0</v>
      </c>
      <c r="G1778" s="8" t="s">
        <v>2777</v>
      </c>
      <c r="H1778" s="8" t="s">
        <v>5161</v>
      </c>
      <c r="I1778" s="3">
        <v>32</v>
      </c>
      <c r="J1778" s="3" t="s">
        <v>5636</v>
      </c>
      <c r="K1778" s="17" t="str">
        <f>HYPERLINK("http://ictvonline.org/taxonomyHistory.asp?taxnode_id=20175028","ICTVonline=20175028")</f>
        <v>ICTVonline=20175028</v>
      </c>
      <c r="L1778" s="3">
        <v>1777</v>
      </c>
    </row>
    <row r="1779" spans="1:12" x14ac:dyDescent="0.15">
      <c r="A1779" s="1" t="s">
        <v>5629</v>
      </c>
      <c r="B1779" s="1" t="s">
        <v>361</v>
      </c>
      <c r="C1779" s="1" t="s">
        <v>362</v>
      </c>
      <c r="D1779" s="1" t="s">
        <v>1442</v>
      </c>
      <c r="E1779" s="1" t="s">
        <v>1217</v>
      </c>
      <c r="F1779" s="3">
        <v>0</v>
      </c>
      <c r="G1779" s="8" t="s">
        <v>2777</v>
      </c>
      <c r="H1779" s="8" t="s">
        <v>5161</v>
      </c>
      <c r="I1779" s="3">
        <v>32</v>
      </c>
      <c r="J1779" s="3" t="s">
        <v>5636</v>
      </c>
      <c r="K1779" s="17" t="str">
        <f>HYPERLINK("http://ictvonline.org/taxonomyHistory.asp?taxnode_id=20175029","ICTVonline=20175029")</f>
        <v>ICTVonline=20175029</v>
      </c>
      <c r="L1779" s="3">
        <v>1778</v>
      </c>
    </row>
    <row r="1780" spans="1:12" x14ac:dyDescent="0.15">
      <c r="A1780" s="1" t="s">
        <v>5629</v>
      </c>
      <c r="B1780" s="1" t="s">
        <v>361</v>
      </c>
      <c r="C1780" s="1" t="s">
        <v>362</v>
      </c>
      <c r="D1780" s="1" t="s">
        <v>1442</v>
      </c>
      <c r="E1780" s="1" t="s">
        <v>1218</v>
      </c>
      <c r="F1780" s="3">
        <v>1</v>
      </c>
      <c r="G1780" s="8" t="s">
        <v>2777</v>
      </c>
      <c r="H1780" s="8" t="s">
        <v>5161</v>
      </c>
      <c r="I1780" s="3">
        <v>32</v>
      </c>
      <c r="J1780" s="3" t="s">
        <v>5636</v>
      </c>
      <c r="K1780" s="17" t="str">
        <f>HYPERLINK("http://ictvonline.org/taxonomyHistory.asp?taxnode_id=20175030","ICTVonline=20175030")</f>
        <v>ICTVonline=20175030</v>
      </c>
      <c r="L1780" s="3">
        <v>1779</v>
      </c>
    </row>
    <row r="1781" spans="1:12" x14ac:dyDescent="0.15">
      <c r="A1781" s="1" t="s">
        <v>5629</v>
      </c>
      <c r="B1781" s="1" t="s">
        <v>361</v>
      </c>
      <c r="C1781" s="1" t="s">
        <v>362</v>
      </c>
      <c r="D1781" s="1" t="s">
        <v>1442</v>
      </c>
      <c r="E1781" s="1" t="s">
        <v>1219</v>
      </c>
      <c r="F1781" s="3">
        <v>0</v>
      </c>
      <c r="G1781" s="8" t="s">
        <v>2777</v>
      </c>
      <c r="H1781" s="8" t="s">
        <v>5161</v>
      </c>
      <c r="I1781" s="3">
        <v>32</v>
      </c>
      <c r="J1781" s="3" t="s">
        <v>5636</v>
      </c>
      <c r="K1781" s="17" t="str">
        <f>HYPERLINK("http://ictvonline.org/taxonomyHistory.asp?taxnode_id=20175031","ICTVonline=20175031")</f>
        <v>ICTVonline=20175031</v>
      </c>
      <c r="L1781" s="3">
        <v>1780</v>
      </c>
    </row>
    <row r="1782" spans="1:12" x14ac:dyDescent="0.15">
      <c r="A1782" s="1" t="s">
        <v>5629</v>
      </c>
      <c r="B1782" s="1" t="s">
        <v>361</v>
      </c>
      <c r="C1782" s="1" t="s">
        <v>362</v>
      </c>
      <c r="D1782" s="1" t="s">
        <v>1442</v>
      </c>
      <c r="E1782" s="1" t="s">
        <v>5066</v>
      </c>
      <c r="F1782" s="3">
        <v>0</v>
      </c>
      <c r="G1782" s="8" t="s">
        <v>2777</v>
      </c>
      <c r="H1782" s="8" t="s">
        <v>5161</v>
      </c>
      <c r="I1782" s="3">
        <v>32</v>
      </c>
      <c r="J1782" s="3" t="s">
        <v>5636</v>
      </c>
      <c r="K1782" s="17" t="str">
        <f>HYPERLINK("http://ictvonline.org/taxonomyHistory.asp?taxnode_id=20175032","ICTVonline=20175032")</f>
        <v>ICTVonline=20175032</v>
      </c>
      <c r="L1782" s="3">
        <v>1781</v>
      </c>
    </row>
    <row r="1783" spans="1:12" x14ac:dyDescent="0.15">
      <c r="A1783" s="1" t="s">
        <v>5629</v>
      </c>
      <c r="B1783" s="1" t="s">
        <v>361</v>
      </c>
      <c r="C1783" s="1" t="s">
        <v>362</v>
      </c>
      <c r="D1783" s="1" t="s">
        <v>1442</v>
      </c>
      <c r="E1783" s="1" t="s">
        <v>1220</v>
      </c>
      <c r="F1783" s="3">
        <v>0</v>
      </c>
      <c r="G1783" s="8" t="s">
        <v>2777</v>
      </c>
      <c r="H1783" s="8" t="s">
        <v>5161</v>
      </c>
      <c r="I1783" s="3">
        <v>32</v>
      </c>
      <c r="J1783" s="3" t="s">
        <v>5636</v>
      </c>
      <c r="K1783" s="17" t="str">
        <f>HYPERLINK("http://ictvonline.org/taxonomyHistory.asp?taxnode_id=20175033","ICTVonline=20175033")</f>
        <v>ICTVonline=20175033</v>
      </c>
      <c r="L1783" s="3">
        <v>1782</v>
      </c>
    </row>
    <row r="1784" spans="1:12" x14ac:dyDescent="0.15">
      <c r="A1784" s="1" t="s">
        <v>5629</v>
      </c>
      <c r="B1784" s="1" t="s">
        <v>361</v>
      </c>
      <c r="C1784" s="1" t="s">
        <v>362</v>
      </c>
      <c r="D1784" s="1" t="s">
        <v>1442</v>
      </c>
      <c r="E1784" s="1" t="s">
        <v>1221</v>
      </c>
      <c r="F1784" s="3">
        <v>0</v>
      </c>
      <c r="G1784" s="8" t="s">
        <v>2777</v>
      </c>
      <c r="H1784" s="8" t="s">
        <v>5161</v>
      </c>
      <c r="I1784" s="3">
        <v>32</v>
      </c>
      <c r="J1784" s="3" t="s">
        <v>5636</v>
      </c>
      <c r="K1784" s="17" t="str">
        <f>HYPERLINK("http://ictvonline.org/taxonomyHistory.asp?taxnode_id=20175034","ICTVonline=20175034")</f>
        <v>ICTVonline=20175034</v>
      </c>
      <c r="L1784" s="3">
        <v>1783</v>
      </c>
    </row>
    <row r="1785" spans="1:12" x14ac:dyDescent="0.15">
      <c r="A1785" s="1" t="s">
        <v>5629</v>
      </c>
      <c r="B1785" s="1" t="s">
        <v>361</v>
      </c>
      <c r="C1785" s="1" t="s">
        <v>362</v>
      </c>
      <c r="D1785" s="1" t="s">
        <v>1442</v>
      </c>
      <c r="E1785" s="1" t="s">
        <v>5651</v>
      </c>
      <c r="F1785" s="3">
        <v>0</v>
      </c>
      <c r="G1785" s="8" t="s">
        <v>2777</v>
      </c>
      <c r="H1785" s="8" t="s">
        <v>5161</v>
      </c>
      <c r="I1785" s="3">
        <v>32</v>
      </c>
      <c r="J1785" s="3" t="s">
        <v>5636</v>
      </c>
      <c r="K1785" s="17" t="str">
        <f>HYPERLINK("http://ictvonline.org/taxonomyHistory.asp?taxnode_id=20175035","ICTVonline=20175035")</f>
        <v>ICTVonline=20175035</v>
      </c>
      <c r="L1785" s="3">
        <v>1784</v>
      </c>
    </row>
    <row r="1786" spans="1:12" x14ac:dyDescent="0.15">
      <c r="A1786" s="1" t="s">
        <v>5629</v>
      </c>
      <c r="B1786" s="1" t="s">
        <v>361</v>
      </c>
      <c r="C1786" s="1" t="s">
        <v>1222</v>
      </c>
      <c r="D1786" s="1" t="s">
        <v>5652</v>
      </c>
      <c r="E1786" s="1" t="s">
        <v>1379</v>
      </c>
      <c r="F1786" s="3">
        <v>1</v>
      </c>
      <c r="G1786" s="8" t="s">
        <v>2777</v>
      </c>
      <c r="H1786" s="8" t="s">
        <v>5159</v>
      </c>
      <c r="I1786" s="3">
        <v>32</v>
      </c>
      <c r="J1786" s="3" t="s">
        <v>5653</v>
      </c>
      <c r="K1786" s="17" t="str">
        <f>HYPERLINK("http://ictvonline.org/taxonomyHistory.asp?taxnode_id=20175039","ICTVonline=20175039")</f>
        <v>ICTVonline=20175039</v>
      </c>
      <c r="L1786" s="3">
        <v>1785</v>
      </c>
    </row>
    <row r="1787" spans="1:12" x14ac:dyDescent="0.15">
      <c r="A1787" s="1" t="s">
        <v>5629</v>
      </c>
      <c r="B1787" s="1" t="s">
        <v>361</v>
      </c>
      <c r="C1787" s="1" t="s">
        <v>1222</v>
      </c>
      <c r="D1787" s="1" t="s">
        <v>5654</v>
      </c>
      <c r="E1787" s="1" t="s">
        <v>1380</v>
      </c>
      <c r="F1787" s="3">
        <v>1</v>
      </c>
      <c r="G1787" s="8" t="s">
        <v>2777</v>
      </c>
      <c r="H1787" s="8" t="s">
        <v>5159</v>
      </c>
      <c r="I1787" s="3">
        <v>32</v>
      </c>
      <c r="J1787" s="3" t="s">
        <v>5653</v>
      </c>
      <c r="K1787" s="17" t="str">
        <f>HYPERLINK("http://ictvonline.org/taxonomyHistory.asp?taxnode_id=20175040","ICTVonline=20175040")</f>
        <v>ICTVonline=20175040</v>
      </c>
      <c r="L1787" s="3">
        <v>1786</v>
      </c>
    </row>
    <row r="1788" spans="1:12" x14ac:dyDescent="0.15">
      <c r="A1788" s="1" t="s">
        <v>5629</v>
      </c>
      <c r="B1788" s="1" t="s">
        <v>361</v>
      </c>
      <c r="C1788" s="1" t="s">
        <v>1222</v>
      </c>
      <c r="D1788" s="1" t="s">
        <v>5655</v>
      </c>
      <c r="E1788" s="1" t="s">
        <v>1381</v>
      </c>
      <c r="F1788" s="3">
        <v>1</v>
      </c>
      <c r="G1788" s="8" t="s">
        <v>2777</v>
      </c>
      <c r="H1788" s="8" t="s">
        <v>5159</v>
      </c>
      <c r="I1788" s="3">
        <v>32</v>
      </c>
      <c r="J1788" s="3" t="s">
        <v>5653</v>
      </c>
      <c r="K1788" s="17" t="str">
        <f>HYPERLINK("http://ictvonline.org/taxonomyHistory.asp?taxnode_id=20175041","ICTVonline=20175041")</f>
        <v>ICTVonline=20175041</v>
      </c>
      <c r="L1788" s="3">
        <v>1787</v>
      </c>
    </row>
    <row r="1789" spans="1:12" x14ac:dyDescent="0.15">
      <c r="A1789" s="1" t="s">
        <v>5629</v>
      </c>
      <c r="B1789" s="1" t="s">
        <v>361</v>
      </c>
      <c r="C1789" s="1" t="s">
        <v>1222</v>
      </c>
      <c r="D1789" s="1" t="s">
        <v>5655</v>
      </c>
      <c r="E1789" s="1" t="s">
        <v>5656</v>
      </c>
      <c r="F1789" s="3">
        <v>0</v>
      </c>
      <c r="G1789" s="8" t="s">
        <v>2777</v>
      </c>
      <c r="H1789" s="8" t="s">
        <v>5159</v>
      </c>
      <c r="I1789" s="3">
        <v>32</v>
      </c>
      <c r="J1789" s="3" t="s">
        <v>5653</v>
      </c>
      <c r="K1789" s="17" t="str">
        <f>HYPERLINK("http://ictvonline.org/taxonomyHistory.asp?taxnode_id=20175930","ICTVonline=20175930")</f>
        <v>ICTVonline=20175930</v>
      </c>
      <c r="L1789" s="3">
        <v>1788</v>
      </c>
    </row>
    <row r="1790" spans="1:12" x14ac:dyDescent="0.15">
      <c r="A1790" s="1" t="s">
        <v>5629</v>
      </c>
      <c r="B1790" s="1" t="s">
        <v>361</v>
      </c>
      <c r="C1790" s="1" t="s">
        <v>1222</v>
      </c>
      <c r="D1790" s="1" t="s">
        <v>5657</v>
      </c>
      <c r="E1790" s="1" t="s">
        <v>5658</v>
      </c>
      <c r="F1790" s="3">
        <v>1</v>
      </c>
      <c r="G1790" s="8" t="s">
        <v>2777</v>
      </c>
      <c r="H1790" s="8" t="s">
        <v>5159</v>
      </c>
      <c r="I1790" s="3">
        <v>32</v>
      </c>
      <c r="J1790" s="3" t="s">
        <v>5653</v>
      </c>
      <c r="K1790" s="17" t="str">
        <f>HYPERLINK("http://ictvonline.org/taxonomyHistory.asp?taxnode_id=20175932","ICTVonline=20175932")</f>
        <v>ICTVonline=20175932</v>
      </c>
      <c r="L1790" s="3">
        <v>1789</v>
      </c>
    </row>
    <row r="1791" spans="1:12" x14ac:dyDescent="0.15">
      <c r="A1791" s="1" t="s">
        <v>5629</v>
      </c>
      <c r="B1791" s="1" t="s">
        <v>361</v>
      </c>
      <c r="C1791" s="1" t="s">
        <v>1222</v>
      </c>
      <c r="D1791" s="1" t="s">
        <v>5659</v>
      </c>
      <c r="E1791" s="1" t="s">
        <v>5660</v>
      </c>
      <c r="F1791" s="3">
        <v>0</v>
      </c>
      <c r="G1791" s="8" t="s">
        <v>2777</v>
      </c>
      <c r="H1791" s="8" t="s">
        <v>5159</v>
      </c>
      <c r="I1791" s="3">
        <v>32</v>
      </c>
      <c r="J1791" s="3" t="s">
        <v>5653</v>
      </c>
      <c r="K1791" s="17" t="str">
        <f>HYPERLINK("http://ictvonline.org/taxonomyHistory.asp?taxnode_id=20175934","ICTVonline=20175934")</f>
        <v>ICTVonline=20175934</v>
      </c>
      <c r="L1791" s="3">
        <v>1790</v>
      </c>
    </row>
    <row r="1792" spans="1:12" x14ac:dyDescent="0.15">
      <c r="A1792" s="1" t="s">
        <v>5629</v>
      </c>
      <c r="B1792" s="1" t="s">
        <v>361</v>
      </c>
      <c r="C1792" s="1" t="s">
        <v>1222</v>
      </c>
      <c r="D1792" s="1" t="s">
        <v>5659</v>
      </c>
      <c r="E1792" s="1" t="s">
        <v>5661</v>
      </c>
      <c r="F1792" s="3">
        <v>0</v>
      </c>
      <c r="G1792" s="8" t="s">
        <v>2777</v>
      </c>
      <c r="H1792" s="8" t="s">
        <v>5159</v>
      </c>
      <c r="I1792" s="3">
        <v>32</v>
      </c>
      <c r="J1792" s="3" t="s">
        <v>5653</v>
      </c>
      <c r="K1792" s="17" t="str">
        <f>HYPERLINK("http://ictvonline.org/taxonomyHistory.asp?taxnode_id=20175935","ICTVonline=20175935")</f>
        <v>ICTVonline=20175935</v>
      </c>
      <c r="L1792" s="3">
        <v>1791</v>
      </c>
    </row>
    <row r="1793" spans="1:12" x14ac:dyDescent="0.15">
      <c r="A1793" s="1" t="s">
        <v>5629</v>
      </c>
      <c r="B1793" s="1" t="s">
        <v>361</v>
      </c>
      <c r="C1793" s="1" t="s">
        <v>1222</v>
      </c>
      <c r="D1793" s="1" t="s">
        <v>5659</v>
      </c>
      <c r="E1793" s="1" t="s">
        <v>5662</v>
      </c>
      <c r="F1793" s="3">
        <v>1</v>
      </c>
      <c r="G1793" s="8" t="s">
        <v>2777</v>
      </c>
      <c r="H1793" s="8" t="s">
        <v>5161</v>
      </c>
      <c r="I1793" s="3">
        <v>32</v>
      </c>
      <c r="J1793" s="3" t="s">
        <v>5636</v>
      </c>
      <c r="K1793" s="17" t="str">
        <f>HYPERLINK("http://ictvonline.org/taxonomyHistory.asp?taxnode_id=20175043","ICTVonline=20175043")</f>
        <v>ICTVonline=20175043</v>
      </c>
      <c r="L1793" s="3">
        <v>1792</v>
      </c>
    </row>
    <row r="1794" spans="1:12" x14ac:dyDescent="0.15">
      <c r="A1794" s="1" t="s">
        <v>5629</v>
      </c>
      <c r="B1794" s="1" t="s">
        <v>361</v>
      </c>
      <c r="C1794" s="1" t="s">
        <v>1222</v>
      </c>
      <c r="D1794" s="1" t="s">
        <v>5659</v>
      </c>
      <c r="E1794" s="1" t="s">
        <v>5663</v>
      </c>
      <c r="F1794" s="3">
        <v>0</v>
      </c>
      <c r="G1794" s="8" t="s">
        <v>2777</v>
      </c>
      <c r="H1794" s="8" t="s">
        <v>5161</v>
      </c>
      <c r="I1794" s="3">
        <v>32</v>
      </c>
      <c r="J1794" s="3" t="s">
        <v>5636</v>
      </c>
      <c r="K1794" s="17" t="str">
        <f>HYPERLINK("http://ictvonline.org/taxonomyHistory.asp?taxnode_id=20175038","ICTVonline=20175038")</f>
        <v>ICTVonline=20175038</v>
      </c>
      <c r="L1794" s="3">
        <v>1793</v>
      </c>
    </row>
    <row r="1795" spans="1:12" x14ac:dyDescent="0.15">
      <c r="A1795" s="1" t="s">
        <v>5629</v>
      </c>
      <c r="B1795" s="1" t="s">
        <v>361</v>
      </c>
      <c r="C1795" s="1" t="s">
        <v>1222</v>
      </c>
      <c r="D1795" s="1" t="s">
        <v>5659</v>
      </c>
      <c r="E1795" s="1" t="s">
        <v>5664</v>
      </c>
      <c r="F1795" s="3">
        <v>0</v>
      </c>
      <c r="G1795" s="8" t="s">
        <v>2777</v>
      </c>
      <c r="H1795" s="8" t="s">
        <v>5159</v>
      </c>
      <c r="I1795" s="3">
        <v>32</v>
      </c>
      <c r="J1795" s="3" t="s">
        <v>5653</v>
      </c>
      <c r="K1795" s="17" t="str">
        <f>HYPERLINK("http://ictvonline.org/taxonomyHistory.asp?taxnode_id=20175936","ICTVonline=20175936")</f>
        <v>ICTVonline=20175936</v>
      </c>
      <c r="L1795" s="3">
        <v>1794</v>
      </c>
    </row>
    <row r="1796" spans="1:12" x14ac:dyDescent="0.15">
      <c r="A1796" s="1" t="s">
        <v>5629</v>
      </c>
      <c r="B1796" s="1" t="s">
        <v>361</v>
      </c>
      <c r="C1796" s="1" t="s">
        <v>1222</v>
      </c>
      <c r="D1796" s="1" t="s">
        <v>5659</v>
      </c>
      <c r="E1796" s="1" t="s">
        <v>5665</v>
      </c>
      <c r="F1796" s="3">
        <v>0</v>
      </c>
      <c r="G1796" s="8" t="s">
        <v>2777</v>
      </c>
      <c r="H1796" s="8" t="s">
        <v>5159</v>
      </c>
      <c r="I1796" s="3">
        <v>32</v>
      </c>
      <c r="J1796" s="3" t="s">
        <v>5653</v>
      </c>
      <c r="K1796" s="17" t="str">
        <f>HYPERLINK("http://ictvonline.org/taxonomyHistory.asp?taxnode_id=20175937","ICTVonline=20175937")</f>
        <v>ICTVonline=20175937</v>
      </c>
      <c r="L1796" s="3">
        <v>1795</v>
      </c>
    </row>
    <row r="1797" spans="1:12" x14ac:dyDescent="0.15">
      <c r="A1797" s="1" t="s">
        <v>5629</v>
      </c>
      <c r="B1797" s="1" t="s">
        <v>361</v>
      </c>
      <c r="C1797" s="1" t="s">
        <v>1222</v>
      </c>
      <c r="D1797" s="1" t="s">
        <v>5659</v>
      </c>
      <c r="E1797" s="1" t="s">
        <v>5666</v>
      </c>
      <c r="F1797" s="3">
        <v>0</v>
      </c>
      <c r="G1797" s="8" t="s">
        <v>2777</v>
      </c>
      <c r="H1797" s="8" t="s">
        <v>5159</v>
      </c>
      <c r="I1797" s="3">
        <v>32</v>
      </c>
      <c r="J1797" s="3" t="s">
        <v>5653</v>
      </c>
      <c r="K1797" s="17" t="str">
        <f>HYPERLINK("http://ictvonline.org/taxonomyHistory.asp?taxnode_id=20175938","ICTVonline=20175938")</f>
        <v>ICTVonline=20175938</v>
      </c>
      <c r="L1797" s="3">
        <v>1796</v>
      </c>
    </row>
    <row r="1798" spans="1:12" x14ac:dyDescent="0.15">
      <c r="A1798" s="1" t="s">
        <v>5629</v>
      </c>
      <c r="B1798" s="1" t="s">
        <v>361</v>
      </c>
      <c r="C1798" s="1" t="s">
        <v>1222</v>
      </c>
      <c r="D1798" s="1" t="s">
        <v>5659</v>
      </c>
      <c r="E1798" s="1" t="s">
        <v>5667</v>
      </c>
      <c r="F1798" s="3">
        <v>0</v>
      </c>
      <c r="G1798" s="8" t="s">
        <v>2777</v>
      </c>
      <c r="H1798" s="8" t="s">
        <v>5159</v>
      </c>
      <c r="I1798" s="3">
        <v>32</v>
      </c>
      <c r="J1798" s="3" t="s">
        <v>5653</v>
      </c>
      <c r="K1798" s="17" t="str">
        <f>HYPERLINK("http://ictvonline.org/taxonomyHistory.asp?taxnode_id=20175939","ICTVonline=20175939")</f>
        <v>ICTVonline=20175939</v>
      </c>
      <c r="L1798" s="3">
        <v>1797</v>
      </c>
    </row>
    <row r="1799" spans="1:12" x14ac:dyDescent="0.15">
      <c r="A1799" s="1" t="s">
        <v>5629</v>
      </c>
      <c r="B1799" s="1" t="s">
        <v>361</v>
      </c>
      <c r="C1799" s="1" t="s">
        <v>1222</v>
      </c>
      <c r="D1799" s="1" t="s">
        <v>5659</v>
      </c>
      <c r="E1799" s="1" t="s">
        <v>5668</v>
      </c>
      <c r="F1799" s="3">
        <v>0</v>
      </c>
      <c r="G1799" s="8" t="s">
        <v>2777</v>
      </c>
      <c r="H1799" s="8" t="s">
        <v>5159</v>
      </c>
      <c r="I1799" s="3">
        <v>32</v>
      </c>
      <c r="J1799" s="3" t="s">
        <v>5653</v>
      </c>
      <c r="K1799" s="17" t="str">
        <f>HYPERLINK("http://ictvonline.org/taxonomyHistory.asp?taxnode_id=20175940","ICTVonline=20175940")</f>
        <v>ICTVonline=20175940</v>
      </c>
      <c r="L1799" s="3">
        <v>1798</v>
      </c>
    </row>
    <row r="1800" spans="1:12" x14ac:dyDescent="0.15">
      <c r="A1800" s="1" t="s">
        <v>5629</v>
      </c>
      <c r="B1800" s="1" t="s">
        <v>361</v>
      </c>
      <c r="C1800" s="1" t="s">
        <v>1222</v>
      </c>
      <c r="D1800" s="1" t="s">
        <v>5659</v>
      </c>
      <c r="E1800" s="1" t="s">
        <v>5669</v>
      </c>
      <c r="F1800" s="3">
        <v>0</v>
      </c>
      <c r="G1800" s="8" t="s">
        <v>2777</v>
      </c>
      <c r="H1800" s="8" t="s">
        <v>5161</v>
      </c>
      <c r="I1800" s="3">
        <v>32</v>
      </c>
      <c r="J1800" s="3" t="s">
        <v>5636</v>
      </c>
      <c r="K1800" s="17" t="str">
        <f>HYPERLINK("http://ictvonline.org/taxonomyHistory.asp?taxnode_id=20175042","ICTVonline=20175042")</f>
        <v>ICTVonline=20175042</v>
      </c>
      <c r="L1800" s="3">
        <v>1799</v>
      </c>
    </row>
    <row r="1801" spans="1:12" x14ac:dyDescent="0.15">
      <c r="A1801" s="1" t="s">
        <v>5629</v>
      </c>
      <c r="B1801" s="1" t="s">
        <v>361</v>
      </c>
      <c r="C1801" s="1" t="s">
        <v>1222</v>
      </c>
      <c r="D1801" s="1" t="s">
        <v>5659</v>
      </c>
      <c r="E1801" s="1" t="s">
        <v>5670</v>
      </c>
      <c r="F1801" s="3">
        <v>0</v>
      </c>
      <c r="G1801" s="8" t="s">
        <v>2777</v>
      </c>
      <c r="H1801" s="8" t="s">
        <v>5159</v>
      </c>
      <c r="I1801" s="3">
        <v>32</v>
      </c>
      <c r="J1801" s="3" t="s">
        <v>5653</v>
      </c>
      <c r="K1801" s="17" t="str">
        <f>HYPERLINK("http://ictvonline.org/taxonomyHistory.asp?taxnode_id=20175941","ICTVonline=20175941")</f>
        <v>ICTVonline=20175941</v>
      </c>
      <c r="L1801" s="3">
        <v>1800</v>
      </c>
    </row>
    <row r="1802" spans="1:12" x14ac:dyDescent="0.15">
      <c r="A1802" s="1" t="s">
        <v>5629</v>
      </c>
      <c r="B1802" s="1" t="s">
        <v>361</v>
      </c>
      <c r="C1802" s="1" t="s">
        <v>1222</v>
      </c>
      <c r="D1802" s="1" t="s">
        <v>5659</v>
      </c>
      <c r="E1802" s="1" t="s">
        <v>5671</v>
      </c>
      <c r="F1802" s="3">
        <v>0</v>
      </c>
      <c r="G1802" s="8" t="s">
        <v>2777</v>
      </c>
      <c r="H1802" s="8" t="s">
        <v>5159</v>
      </c>
      <c r="I1802" s="3">
        <v>32</v>
      </c>
      <c r="J1802" s="3" t="s">
        <v>5653</v>
      </c>
      <c r="K1802" s="17" t="str">
        <f>HYPERLINK("http://ictvonline.org/taxonomyHistory.asp?taxnode_id=20175942","ICTVonline=20175942")</f>
        <v>ICTVonline=20175942</v>
      </c>
      <c r="L1802" s="3">
        <v>1801</v>
      </c>
    </row>
    <row r="1803" spans="1:12" x14ac:dyDescent="0.15">
      <c r="A1803" s="1" t="s">
        <v>5629</v>
      </c>
      <c r="B1803" s="1" t="s">
        <v>361</v>
      </c>
      <c r="C1803" s="1" t="s">
        <v>1222</v>
      </c>
      <c r="D1803" s="1" t="s">
        <v>5659</v>
      </c>
      <c r="E1803" s="1" t="s">
        <v>5672</v>
      </c>
      <c r="F1803" s="3">
        <v>0</v>
      </c>
      <c r="G1803" s="8" t="s">
        <v>2777</v>
      </c>
      <c r="H1803" s="8" t="s">
        <v>5159</v>
      </c>
      <c r="I1803" s="3">
        <v>32</v>
      </c>
      <c r="J1803" s="3" t="s">
        <v>5653</v>
      </c>
      <c r="K1803" s="17" t="str">
        <f>HYPERLINK("http://ictvonline.org/taxonomyHistory.asp?taxnode_id=20175943","ICTVonline=20175943")</f>
        <v>ICTVonline=20175943</v>
      </c>
      <c r="L1803" s="3">
        <v>1802</v>
      </c>
    </row>
    <row r="1804" spans="1:12" x14ac:dyDescent="0.15">
      <c r="A1804" s="1" t="s">
        <v>5629</v>
      </c>
      <c r="B1804" s="1" t="s">
        <v>361</v>
      </c>
      <c r="C1804" s="1" t="s">
        <v>1222</v>
      </c>
      <c r="D1804" s="1" t="s">
        <v>5659</v>
      </c>
      <c r="E1804" s="1" t="s">
        <v>5673</v>
      </c>
      <c r="F1804" s="3">
        <v>0</v>
      </c>
      <c r="G1804" s="8" t="s">
        <v>2777</v>
      </c>
      <c r="H1804" s="8" t="s">
        <v>5159</v>
      </c>
      <c r="I1804" s="3">
        <v>32</v>
      </c>
      <c r="J1804" s="3" t="s">
        <v>5653</v>
      </c>
      <c r="K1804" s="17" t="str">
        <f>HYPERLINK("http://ictvonline.org/taxonomyHistory.asp?taxnode_id=20175944","ICTVonline=20175944")</f>
        <v>ICTVonline=20175944</v>
      </c>
      <c r="L1804" s="3">
        <v>1803</v>
      </c>
    </row>
    <row r="1805" spans="1:12" x14ac:dyDescent="0.15">
      <c r="A1805" s="1" t="s">
        <v>1081</v>
      </c>
      <c r="B1805" s="1" t="s">
        <v>1041</v>
      </c>
      <c r="D1805" s="1" t="s">
        <v>1370</v>
      </c>
      <c r="E1805" s="1" t="s">
        <v>1038</v>
      </c>
      <c r="F1805" s="3">
        <v>1</v>
      </c>
      <c r="G1805" s="8" t="s">
        <v>2773</v>
      </c>
      <c r="H1805" s="8" t="s">
        <v>5165</v>
      </c>
      <c r="I1805" s="3">
        <v>25</v>
      </c>
      <c r="J1805" s="3" t="s">
        <v>5674</v>
      </c>
      <c r="K1805" s="17" t="str">
        <f>HYPERLINK("http://ictvonline.org/taxonomyHistory.asp?taxnode_id=20171914","ICTVonline=20171914")</f>
        <v>ICTVonline=20171914</v>
      </c>
      <c r="L1805" s="3">
        <v>1804</v>
      </c>
    </row>
    <row r="1806" spans="1:12" x14ac:dyDescent="0.15">
      <c r="A1806" s="1" t="s">
        <v>1081</v>
      </c>
      <c r="B1806" s="1" t="s">
        <v>1041</v>
      </c>
      <c r="D1806" s="1" t="s">
        <v>1370</v>
      </c>
      <c r="E1806" s="1" t="s">
        <v>1371</v>
      </c>
      <c r="F1806" s="3">
        <v>0</v>
      </c>
      <c r="G1806" s="8" t="s">
        <v>2773</v>
      </c>
      <c r="H1806" s="8" t="s">
        <v>5159</v>
      </c>
      <c r="I1806" s="3">
        <v>25</v>
      </c>
      <c r="J1806" s="3" t="s">
        <v>5674</v>
      </c>
      <c r="K1806" s="17" t="str">
        <f>HYPERLINK("http://ictvonline.org/taxonomyHistory.asp?taxnode_id=20171915","ICTVonline=20171915")</f>
        <v>ICTVonline=20171915</v>
      </c>
      <c r="L1806" s="3">
        <v>1805</v>
      </c>
    </row>
    <row r="1807" spans="1:12" x14ac:dyDescent="0.15">
      <c r="A1807" s="1" t="s">
        <v>1081</v>
      </c>
      <c r="B1807" s="1" t="s">
        <v>1041</v>
      </c>
      <c r="D1807" s="1" t="s">
        <v>1370</v>
      </c>
      <c r="E1807" s="1" t="s">
        <v>1039</v>
      </c>
      <c r="F1807" s="3">
        <v>0</v>
      </c>
      <c r="G1807" s="8" t="s">
        <v>2773</v>
      </c>
      <c r="H1807" s="8" t="s">
        <v>5161</v>
      </c>
      <c r="I1807" s="3">
        <v>25</v>
      </c>
      <c r="J1807" s="3" t="s">
        <v>5674</v>
      </c>
      <c r="K1807" s="17" t="str">
        <f>HYPERLINK("http://ictvonline.org/taxonomyHistory.asp?taxnode_id=20171916","ICTVonline=20171916")</f>
        <v>ICTVonline=20171916</v>
      </c>
      <c r="L1807" s="3">
        <v>1806</v>
      </c>
    </row>
    <row r="1808" spans="1:12" x14ac:dyDescent="0.15">
      <c r="A1808" s="1" t="s">
        <v>1081</v>
      </c>
      <c r="B1808" s="1" t="s">
        <v>1041</v>
      </c>
      <c r="D1808" s="1" t="s">
        <v>1370</v>
      </c>
      <c r="E1808" s="1" t="s">
        <v>3</v>
      </c>
      <c r="F1808" s="3">
        <v>0</v>
      </c>
      <c r="G1808" s="8" t="s">
        <v>2773</v>
      </c>
      <c r="H1808" s="8" t="s">
        <v>5159</v>
      </c>
      <c r="I1808" s="3">
        <v>26</v>
      </c>
      <c r="J1808" s="3" t="s">
        <v>5675</v>
      </c>
      <c r="K1808" s="17" t="str">
        <f>HYPERLINK("http://ictvonline.org/taxonomyHistory.asp?taxnode_id=20171917","ICTVonline=20171917")</f>
        <v>ICTVonline=20171917</v>
      </c>
      <c r="L1808" s="3">
        <v>1807</v>
      </c>
    </row>
    <row r="1809" spans="1:12" x14ac:dyDescent="0.15">
      <c r="A1809" s="1" t="s">
        <v>1081</v>
      </c>
      <c r="B1809" s="1" t="s">
        <v>1041</v>
      </c>
      <c r="D1809" s="1" t="s">
        <v>1370</v>
      </c>
      <c r="E1809" s="1" t="s">
        <v>5676</v>
      </c>
      <c r="F1809" s="3">
        <v>0</v>
      </c>
      <c r="G1809" s="8" t="s">
        <v>2773</v>
      </c>
      <c r="H1809" s="8" t="s">
        <v>5162</v>
      </c>
      <c r="I1809" s="3">
        <v>32</v>
      </c>
      <c r="J1809" s="3" t="s">
        <v>5564</v>
      </c>
      <c r="K1809" s="17" t="str">
        <f>HYPERLINK("http://ictvonline.org/taxonomyHistory.asp?taxnode_id=20171918","ICTVonline=20171918")</f>
        <v>ICTVonline=20171918</v>
      </c>
      <c r="L1809" s="3">
        <v>1808</v>
      </c>
    </row>
    <row r="1810" spans="1:12" x14ac:dyDescent="0.15">
      <c r="A1810" s="1" t="s">
        <v>1081</v>
      </c>
      <c r="B1810" s="1" t="s">
        <v>1041</v>
      </c>
      <c r="D1810" s="1" t="s">
        <v>1370</v>
      </c>
      <c r="E1810" s="1" t="s">
        <v>1040</v>
      </c>
      <c r="F1810" s="3">
        <v>0</v>
      </c>
      <c r="G1810" s="8" t="s">
        <v>2773</v>
      </c>
      <c r="H1810" s="8" t="s">
        <v>5161</v>
      </c>
      <c r="I1810" s="3">
        <v>25</v>
      </c>
      <c r="J1810" s="3" t="s">
        <v>5674</v>
      </c>
      <c r="K1810" s="17" t="str">
        <f>HYPERLINK("http://ictvonline.org/taxonomyHistory.asp?taxnode_id=20171919","ICTVonline=20171919")</f>
        <v>ICTVonline=20171919</v>
      </c>
      <c r="L1810" s="3">
        <v>1809</v>
      </c>
    </row>
    <row r="1811" spans="1:12" x14ac:dyDescent="0.15">
      <c r="A1811" s="1" t="s">
        <v>1081</v>
      </c>
      <c r="B1811" s="1" t="s">
        <v>1041</v>
      </c>
      <c r="D1811" s="1" t="s">
        <v>1042</v>
      </c>
      <c r="E1811" s="1" t="s">
        <v>1043</v>
      </c>
      <c r="F1811" s="3">
        <v>0</v>
      </c>
      <c r="G1811" s="8" t="s">
        <v>2773</v>
      </c>
      <c r="H1811" s="8" t="s">
        <v>5161</v>
      </c>
      <c r="I1811" s="3">
        <v>24</v>
      </c>
      <c r="J1811" s="3" t="s">
        <v>5677</v>
      </c>
      <c r="K1811" s="17" t="str">
        <f>HYPERLINK("http://ictvonline.org/taxonomyHistory.asp?taxnode_id=20171921","ICTVonline=20171921")</f>
        <v>ICTVonline=20171921</v>
      </c>
      <c r="L1811" s="3">
        <v>1810</v>
      </c>
    </row>
    <row r="1812" spans="1:12" x14ac:dyDescent="0.15">
      <c r="A1812" s="1" t="s">
        <v>1081</v>
      </c>
      <c r="B1812" s="1" t="s">
        <v>1041</v>
      </c>
      <c r="D1812" s="1" t="s">
        <v>1042</v>
      </c>
      <c r="E1812" s="1" t="s">
        <v>1045</v>
      </c>
      <c r="F1812" s="3">
        <v>1</v>
      </c>
      <c r="G1812" s="8" t="s">
        <v>2773</v>
      </c>
      <c r="H1812" s="8" t="s">
        <v>5161</v>
      </c>
      <c r="I1812" s="3">
        <v>24</v>
      </c>
      <c r="J1812" s="3" t="s">
        <v>5677</v>
      </c>
      <c r="K1812" s="17" t="str">
        <f>HYPERLINK("http://ictvonline.org/taxonomyHistory.asp?taxnode_id=20171922","ICTVonline=20171922")</f>
        <v>ICTVonline=20171922</v>
      </c>
      <c r="L1812" s="3">
        <v>1811</v>
      </c>
    </row>
    <row r="1813" spans="1:12" x14ac:dyDescent="0.15">
      <c r="A1813" s="1" t="s">
        <v>1081</v>
      </c>
      <c r="B1813" s="1" t="s">
        <v>1041</v>
      </c>
      <c r="D1813" s="1" t="s">
        <v>1042</v>
      </c>
      <c r="E1813" s="1" t="s">
        <v>1046</v>
      </c>
      <c r="F1813" s="3">
        <v>0</v>
      </c>
      <c r="G1813" s="8" t="s">
        <v>2773</v>
      </c>
      <c r="H1813" s="8" t="s">
        <v>5161</v>
      </c>
      <c r="I1813" s="3">
        <v>24</v>
      </c>
      <c r="J1813" s="3" t="s">
        <v>5677</v>
      </c>
      <c r="K1813" s="17" t="str">
        <f>HYPERLINK("http://ictvonline.org/taxonomyHistory.asp?taxnode_id=20171923","ICTVonline=20171923")</f>
        <v>ICTVonline=20171923</v>
      </c>
      <c r="L1813" s="3">
        <v>1812</v>
      </c>
    </row>
    <row r="1814" spans="1:12" x14ac:dyDescent="0.15">
      <c r="A1814" s="1" t="s">
        <v>1081</v>
      </c>
      <c r="B1814" s="1" t="s">
        <v>1041</v>
      </c>
      <c r="D1814" s="1" t="s">
        <v>1042</v>
      </c>
      <c r="E1814" s="1" t="s">
        <v>1048</v>
      </c>
      <c r="F1814" s="3">
        <v>0</v>
      </c>
      <c r="G1814" s="8" t="s">
        <v>2773</v>
      </c>
      <c r="H1814" s="8" t="s">
        <v>5161</v>
      </c>
      <c r="I1814" s="3">
        <v>24</v>
      </c>
      <c r="J1814" s="3" t="s">
        <v>5677</v>
      </c>
      <c r="K1814" s="17" t="str">
        <f>HYPERLINK("http://ictvonline.org/taxonomyHistory.asp?taxnode_id=20171924","ICTVonline=20171924")</f>
        <v>ICTVonline=20171924</v>
      </c>
      <c r="L1814" s="3">
        <v>1813</v>
      </c>
    </row>
    <row r="1815" spans="1:12" x14ac:dyDescent="0.15">
      <c r="A1815" s="1" t="s">
        <v>1081</v>
      </c>
      <c r="B1815" s="1" t="s">
        <v>1041</v>
      </c>
      <c r="D1815" s="1" t="s">
        <v>3774</v>
      </c>
      <c r="E1815" s="1" t="s">
        <v>1044</v>
      </c>
      <c r="F1815" s="3">
        <v>0</v>
      </c>
      <c r="G1815" s="8" t="s">
        <v>2773</v>
      </c>
      <c r="H1815" s="8" t="s">
        <v>5161</v>
      </c>
      <c r="I1815" s="3">
        <v>30</v>
      </c>
      <c r="J1815" s="3" t="s">
        <v>5678</v>
      </c>
      <c r="K1815" s="17" t="str">
        <f>HYPERLINK("http://ictvonline.org/taxonomyHistory.asp?taxnode_id=20171926","ICTVonline=20171926")</f>
        <v>ICTVonline=20171926</v>
      </c>
      <c r="L1815" s="3">
        <v>1814</v>
      </c>
    </row>
    <row r="1816" spans="1:12" x14ac:dyDescent="0.15">
      <c r="A1816" s="1" t="s">
        <v>1081</v>
      </c>
      <c r="B1816" s="1" t="s">
        <v>1041</v>
      </c>
      <c r="D1816" s="1" t="s">
        <v>3774</v>
      </c>
      <c r="E1816" s="1" t="s">
        <v>1443</v>
      </c>
      <c r="F1816" s="3">
        <v>0</v>
      </c>
      <c r="G1816" s="8" t="s">
        <v>2773</v>
      </c>
      <c r="H1816" s="8" t="s">
        <v>5161</v>
      </c>
      <c r="I1816" s="3">
        <v>30</v>
      </c>
      <c r="J1816" s="3" t="s">
        <v>5678</v>
      </c>
      <c r="K1816" s="17" t="str">
        <f>HYPERLINK("http://ictvonline.org/taxonomyHistory.asp?taxnode_id=20171927","ICTVonline=20171927")</f>
        <v>ICTVonline=20171927</v>
      </c>
      <c r="L1816" s="3">
        <v>1815</v>
      </c>
    </row>
    <row r="1817" spans="1:12" x14ac:dyDescent="0.15">
      <c r="A1817" s="1" t="s">
        <v>1081</v>
      </c>
      <c r="B1817" s="1" t="s">
        <v>1041</v>
      </c>
      <c r="D1817" s="1" t="s">
        <v>3774</v>
      </c>
      <c r="E1817" s="1" t="s">
        <v>5679</v>
      </c>
      <c r="F1817" s="3">
        <v>0</v>
      </c>
      <c r="G1817" s="8" t="s">
        <v>2773</v>
      </c>
      <c r="H1817" s="8" t="s">
        <v>5162</v>
      </c>
      <c r="I1817" s="3">
        <v>32</v>
      </c>
      <c r="J1817" s="3" t="s">
        <v>5564</v>
      </c>
      <c r="K1817" s="17" t="str">
        <f>HYPERLINK("http://ictvonline.org/taxonomyHistory.asp?taxnode_id=20171928","ICTVonline=20171928")</f>
        <v>ICTVonline=20171928</v>
      </c>
      <c r="L1817" s="3">
        <v>1816</v>
      </c>
    </row>
    <row r="1818" spans="1:12" x14ac:dyDescent="0.15">
      <c r="A1818" s="1" t="s">
        <v>1081</v>
      </c>
      <c r="B1818" s="1" t="s">
        <v>1041</v>
      </c>
      <c r="D1818" s="1" t="s">
        <v>3774</v>
      </c>
      <c r="E1818" s="1" t="s">
        <v>1047</v>
      </c>
      <c r="F1818" s="3">
        <v>0</v>
      </c>
      <c r="G1818" s="8" t="s">
        <v>2773</v>
      </c>
      <c r="H1818" s="8" t="s">
        <v>5161</v>
      </c>
      <c r="I1818" s="3">
        <v>30</v>
      </c>
      <c r="J1818" s="3" t="s">
        <v>5678</v>
      </c>
      <c r="K1818" s="17" t="str">
        <f>HYPERLINK("http://ictvonline.org/taxonomyHistory.asp?taxnode_id=20171929","ICTVonline=20171929")</f>
        <v>ICTVonline=20171929</v>
      </c>
      <c r="L1818" s="3">
        <v>1817</v>
      </c>
    </row>
    <row r="1819" spans="1:12" x14ac:dyDescent="0.15">
      <c r="A1819" s="1" t="s">
        <v>1081</v>
      </c>
      <c r="B1819" s="1" t="s">
        <v>1041</v>
      </c>
      <c r="D1819" s="1" t="s">
        <v>3774</v>
      </c>
      <c r="E1819" s="1" t="s">
        <v>1037</v>
      </c>
      <c r="F1819" s="3">
        <v>1</v>
      </c>
      <c r="G1819" s="8" t="s">
        <v>2773</v>
      </c>
      <c r="H1819" s="8" t="s">
        <v>5161</v>
      </c>
      <c r="I1819" s="3">
        <v>30</v>
      </c>
      <c r="J1819" s="3" t="s">
        <v>5678</v>
      </c>
      <c r="K1819" s="17" t="str">
        <f>HYPERLINK("http://ictvonline.org/taxonomyHistory.asp?taxnode_id=20171930","ICTVonline=20171930")</f>
        <v>ICTVonline=20171930</v>
      </c>
      <c r="L1819" s="3">
        <v>1818</v>
      </c>
    </row>
    <row r="1820" spans="1:12" x14ac:dyDescent="0.15">
      <c r="A1820" s="1" t="s">
        <v>1081</v>
      </c>
      <c r="B1820" s="1" t="s">
        <v>1118</v>
      </c>
      <c r="D1820" s="1" t="s">
        <v>1119</v>
      </c>
      <c r="E1820" s="1" t="s">
        <v>3775</v>
      </c>
      <c r="F1820" s="3">
        <v>0</v>
      </c>
      <c r="G1820" s="8" t="s">
        <v>2773</v>
      </c>
      <c r="H1820" s="8" t="s">
        <v>5159</v>
      </c>
      <c r="I1820" s="3">
        <v>30</v>
      </c>
      <c r="J1820" s="3" t="s">
        <v>5680</v>
      </c>
      <c r="K1820" s="17" t="str">
        <f>HYPERLINK("http://ictvonline.org/taxonomyHistory.asp?taxnode_id=20171934","ICTVonline=20171934")</f>
        <v>ICTVonline=20171934</v>
      </c>
      <c r="L1820" s="3">
        <v>1819</v>
      </c>
    </row>
    <row r="1821" spans="1:12" x14ac:dyDescent="0.15">
      <c r="A1821" s="1" t="s">
        <v>1081</v>
      </c>
      <c r="B1821" s="1" t="s">
        <v>1118</v>
      </c>
      <c r="D1821" s="1" t="s">
        <v>1119</v>
      </c>
      <c r="E1821" s="1" t="s">
        <v>4810</v>
      </c>
      <c r="F1821" s="3">
        <v>0</v>
      </c>
      <c r="G1821" s="8" t="s">
        <v>2773</v>
      </c>
      <c r="H1821" s="8" t="s">
        <v>5159</v>
      </c>
      <c r="I1821" s="3">
        <v>31</v>
      </c>
      <c r="J1821" s="3" t="s">
        <v>5681</v>
      </c>
      <c r="K1821" s="17" t="str">
        <f>HYPERLINK("http://ictvonline.org/taxonomyHistory.asp?taxnode_id=20171935","ICTVonline=20171935")</f>
        <v>ICTVonline=20171935</v>
      </c>
      <c r="L1821" s="3">
        <v>1820</v>
      </c>
    </row>
    <row r="1822" spans="1:12" x14ac:dyDescent="0.15">
      <c r="A1822" s="1" t="s">
        <v>1081</v>
      </c>
      <c r="B1822" s="1" t="s">
        <v>1118</v>
      </c>
      <c r="D1822" s="1" t="s">
        <v>1119</v>
      </c>
      <c r="E1822" s="1" t="s">
        <v>1120</v>
      </c>
      <c r="F1822" s="3">
        <v>0</v>
      </c>
      <c r="G1822" s="8" t="s">
        <v>2773</v>
      </c>
      <c r="H1822" s="8" t="s">
        <v>5159</v>
      </c>
      <c r="I1822" s="3">
        <v>24</v>
      </c>
      <c r="J1822" s="3" t="s">
        <v>5682</v>
      </c>
      <c r="K1822" s="17" t="str">
        <f>HYPERLINK("http://ictvonline.org/taxonomyHistory.asp?taxnode_id=20171936","ICTVonline=20171936")</f>
        <v>ICTVonline=20171936</v>
      </c>
      <c r="L1822" s="3">
        <v>1821</v>
      </c>
    </row>
    <row r="1823" spans="1:12" x14ac:dyDescent="0.15">
      <c r="A1823" s="1" t="s">
        <v>1081</v>
      </c>
      <c r="B1823" s="1" t="s">
        <v>1118</v>
      </c>
      <c r="D1823" s="1" t="s">
        <v>1119</v>
      </c>
      <c r="E1823" s="1" t="s">
        <v>3776</v>
      </c>
      <c r="F1823" s="3">
        <v>0</v>
      </c>
      <c r="G1823" s="8" t="s">
        <v>2773</v>
      </c>
      <c r="H1823" s="8" t="s">
        <v>5159</v>
      </c>
      <c r="I1823" s="3">
        <v>30</v>
      </c>
      <c r="J1823" s="3" t="s">
        <v>5683</v>
      </c>
      <c r="K1823" s="17" t="str">
        <f>HYPERLINK("http://ictvonline.org/taxonomyHistory.asp?taxnode_id=20171937","ICTVonline=20171937")</f>
        <v>ICTVonline=20171937</v>
      </c>
      <c r="L1823" s="3">
        <v>1822</v>
      </c>
    </row>
    <row r="1824" spans="1:12" x14ac:dyDescent="0.15">
      <c r="A1824" s="1" t="s">
        <v>1081</v>
      </c>
      <c r="B1824" s="1" t="s">
        <v>1118</v>
      </c>
      <c r="D1824" s="1" t="s">
        <v>1119</v>
      </c>
      <c r="E1824" s="1" t="s">
        <v>1121</v>
      </c>
      <c r="F1824" s="3">
        <v>0</v>
      </c>
      <c r="G1824" s="8" t="s">
        <v>2773</v>
      </c>
      <c r="H1824" s="8" t="s">
        <v>5159</v>
      </c>
      <c r="I1824" s="3">
        <v>24</v>
      </c>
      <c r="J1824" s="3" t="s">
        <v>5682</v>
      </c>
      <c r="K1824" s="17" t="str">
        <f>HYPERLINK("http://ictvonline.org/taxonomyHistory.asp?taxnode_id=20171938","ICTVonline=20171938")</f>
        <v>ICTVonline=20171938</v>
      </c>
      <c r="L1824" s="3">
        <v>1823</v>
      </c>
    </row>
    <row r="1825" spans="1:12" x14ac:dyDescent="0.15">
      <c r="A1825" s="1" t="s">
        <v>1081</v>
      </c>
      <c r="B1825" s="1" t="s">
        <v>1118</v>
      </c>
      <c r="D1825" s="1" t="s">
        <v>1119</v>
      </c>
      <c r="E1825" s="1" t="s">
        <v>1122</v>
      </c>
      <c r="F1825" s="3">
        <v>1</v>
      </c>
      <c r="G1825" s="8" t="s">
        <v>2773</v>
      </c>
      <c r="H1825" s="8" t="s">
        <v>5161</v>
      </c>
      <c r="I1825" s="3">
        <v>24</v>
      </c>
      <c r="J1825" s="3" t="s">
        <v>5684</v>
      </c>
      <c r="K1825" s="17" t="str">
        <f>HYPERLINK("http://ictvonline.org/taxonomyHistory.asp?taxnode_id=20171939","ICTVonline=20171939")</f>
        <v>ICTVonline=20171939</v>
      </c>
      <c r="L1825" s="3">
        <v>1824</v>
      </c>
    </row>
    <row r="1826" spans="1:12" x14ac:dyDescent="0.15">
      <c r="A1826" s="1" t="s">
        <v>1081</v>
      </c>
      <c r="B1826" s="1" t="s">
        <v>1118</v>
      </c>
      <c r="D1826" s="1" t="s">
        <v>1119</v>
      </c>
      <c r="E1826" s="1" t="s">
        <v>2321</v>
      </c>
      <c r="F1826" s="3">
        <v>0</v>
      </c>
      <c r="G1826" s="8" t="s">
        <v>2773</v>
      </c>
      <c r="H1826" s="8" t="s">
        <v>5159</v>
      </c>
      <c r="I1826" s="3">
        <v>28</v>
      </c>
      <c r="J1826" s="3" t="s">
        <v>5685</v>
      </c>
      <c r="K1826" s="17" t="str">
        <f>HYPERLINK("http://ictvonline.org/taxonomyHistory.asp?taxnode_id=20171940","ICTVonline=20171940")</f>
        <v>ICTVonline=20171940</v>
      </c>
      <c r="L1826" s="3">
        <v>1825</v>
      </c>
    </row>
    <row r="1827" spans="1:12" x14ac:dyDescent="0.15">
      <c r="A1827" s="1" t="s">
        <v>1081</v>
      </c>
      <c r="B1827" s="1" t="s">
        <v>1118</v>
      </c>
      <c r="D1827" s="1" t="s">
        <v>1119</v>
      </c>
      <c r="E1827" s="1" t="s">
        <v>3777</v>
      </c>
      <c r="F1827" s="3">
        <v>0</v>
      </c>
      <c r="G1827" s="8" t="s">
        <v>2773</v>
      </c>
      <c r="H1827" s="8" t="s">
        <v>5159</v>
      </c>
      <c r="I1827" s="3">
        <v>30</v>
      </c>
      <c r="J1827" s="3" t="s">
        <v>5686</v>
      </c>
      <c r="K1827" s="17" t="str">
        <f>HYPERLINK("http://ictvonline.org/taxonomyHistory.asp?taxnode_id=20171941","ICTVonline=20171941")</f>
        <v>ICTVonline=20171941</v>
      </c>
      <c r="L1827" s="3">
        <v>1826</v>
      </c>
    </row>
    <row r="1828" spans="1:12" x14ac:dyDescent="0.15">
      <c r="A1828" s="1" t="s">
        <v>1081</v>
      </c>
      <c r="B1828" s="1" t="s">
        <v>1118</v>
      </c>
      <c r="D1828" s="1" t="s">
        <v>1119</v>
      </c>
      <c r="E1828" s="1" t="s">
        <v>2322</v>
      </c>
      <c r="F1828" s="3">
        <v>0</v>
      </c>
      <c r="G1828" s="8" t="s">
        <v>2773</v>
      </c>
      <c r="H1828" s="8" t="s">
        <v>5159</v>
      </c>
      <c r="I1828" s="3">
        <v>28</v>
      </c>
      <c r="J1828" s="3" t="s">
        <v>5685</v>
      </c>
      <c r="K1828" s="17" t="str">
        <f>HYPERLINK("http://ictvonline.org/taxonomyHistory.asp?taxnode_id=20171942","ICTVonline=20171942")</f>
        <v>ICTVonline=20171942</v>
      </c>
      <c r="L1828" s="3">
        <v>1827</v>
      </c>
    </row>
    <row r="1829" spans="1:12" x14ac:dyDescent="0.15">
      <c r="A1829" s="1" t="s">
        <v>1081</v>
      </c>
      <c r="B1829" s="1" t="s">
        <v>1118</v>
      </c>
      <c r="D1829" s="1" t="s">
        <v>1119</v>
      </c>
      <c r="E1829" s="1" t="s">
        <v>1123</v>
      </c>
      <c r="F1829" s="3">
        <v>0</v>
      </c>
      <c r="G1829" s="8" t="s">
        <v>2773</v>
      </c>
      <c r="H1829" s="8" t="s">
        <v>5161</v>
      </c>
      <c r="I1829" s="3">
        <v>24</v>
      </c>
      <c r="J1829" s="3" t="s">
        <v>5684</v>
      </c>
      <c r="K1829" s="17" t="str">
        <f>HYPERLINK("http://ictvonline.org/taxonomyHistory.asp?taxnode_id=20171943","ICTVonline=20171943")</f>
        <v>ICTVonline=20171943</v>
      </c>
      <c r="L1829" s="3">
        <v>1828</v>
      </c>
    </row>
    <row r="1830" spans="1:12" x14ac:dyDescent="0.15">
      <c r="A1830" s="1" t="s">
        <v>1081</v>
      </c>
      <c r="B1830" s="1" t="s">
        <v>1118</v>
      </c>
      <c r="D1830" s="1" t="s">
        <v>1119</v>
      </c>
      <c r="E1830" s="1" t="s">
        <v>1124</v>
      </c>
      <c r="F1830" s="3">
        <v>0</v>
      </c>
      <c r="G1830" s="8" t="s">
        <v>2773</v>
      </c>
      <c r="H1830" s="8" t="s">
        <v>5161</v>
      </c>
      <c r="I1830" s="3">
        <v>24</v>
      </c>
      <c r="J1830" s="3" t="s">
        <v>5684</v>
      </c>
      <c r="K1830" s="17" t="str">
        <f>HYPERLINK("http://ictvonline.org/taxonomyHistory.asp?taxnode_id=20171944","ICTVonline=20171944")</f>
        <v>ICTVonline=20171944</v>
      </c>
      <c r="L1830" s="3">
        <v>1829</v>
      </c>
    </row>
    <row r="1831" spans="1:12" x14ac:dyDescent="0.15">
      <c r="A1831" s="1" t="s">
        <v>1081</v>
      </c>
      <c r="B1831" s="1" t="s">
        <v>1118</v>
      </c>
      <c r="D1831" s="1" t="s">
        <v>1119</v>
      </c>
      <c r="E1831" s="1" t="s">
        <v>4</v>
      </c>
      <c r="F1831" s="3">
        <v>0</v>
      </c>
      <c r="G1831" s="8" t="s">
        <v>2773</v>
      </c>
      <c r="H1831" s="8" t="s">
        <v>5159</v>
      </c>
      <c r="I1831" s="3">
        <v>26</v>
      </c>
      <c r="J1831" s="3" t="s">
        <v>5687</v>
      </c>
      <c r="K1831" s="17" t="str">
        <f>HYPERLINK("http://ictvonline.org/taxonomyHistory.asp?taxnode_id=20171945","ICTVonline=20171945")</f>
        <v>ICTVonline=20171945</v>
      </c>
      <c r="L1831" s="3">
        <v>1830</v>
      </c>
    </row>
    <row r="1832" spans="1:12" x14ac:dyDescent="0.15">
      <c r="A1832" s="1" t="s">
        <v>1081</v>
      </c>
      <c r="B1832" s="1" t="s">
        <v>1118</v>
      </c>
      <c r="D1832" s="1" t="s">
        <v>1119</v>
      </c>
      <c r="E1832" s="1" t="s">
        <v>3778</v>
      </c>
      <c r="F1832" s="3">
        <v>0</v>
      </c>
      <c r="G1832" s="8" t="s">
        <v>2773</v>
      </c>
      <c r="H1832" s="8" t="s">
        <v>5159</v>
      </c>
      <c r="I1832" s="3">
        <v>30</v>
      </c>
      <c r="J1832" s="3" t="s">
        <v>5688</v>
      </c>
      <c r="K1832" s="17" t="str">
        <f>HYPERLINK("http://ictvonline.org/taxonomyHistory.asp?taxnode_id=20171946","ICTVonline=20171946")</f>
        <v>ICTVonline=20171946</v>
      </c>
      <c r="L1832" s="3">
        <v>1831</v>
      </c>
    </row>
    <row r="1833" spans="1:12" x14ac:dyDescent="0.15">
      <c r="A1833" s="1" t="s">
        <v>1081</v>
      </c>
      <c r="B1833" s="1" t="s">
        <v>1118</v>
      </c>
      <c r="D1833" s="1" t="s">
        <v>1119</v>
      </c>
      <c r="E1833" s="1" t="s">
        <v>3779</v>
      </c>
      <c r="F1833" s="3">
        <v>0</v>
      </c>
      <c r="G1833" s="8" t="s">
        <v>2773</v>
      </c>
      <c r="H1833" s="8" t="s">
        <v>5159</v>
      </c>
      <c r="I1833" s="3">
        <v>30</v>
      </c>
      <c r="J1833" s="3" t="s">
        <v>5689</v>
      </c>
      <c r="K1833" s="17" t="str">
        <f>HYPERLINK("http://ictvonline.org/taxonomyHistory.asp?taxnode_id=20171947","ICTVonline=20171947")</f>
        <v>ICTVonline=20171947</v>
      </c>
      <c r="L1833" s="3">
        <v>1832</v>
      </c>
    </row>
    <row r="1834" spans="1:12" x14ac:dyDescent="0.15">
      <c r="A1834" s="1" t="s">
        <v>1081</v>
      </c>
      <c r="B1834" s="1" t="s">
        <v>1118</v>
      </c>
      <c r="D1834" s="1" t="s">
        <v>1119</v>
      </c>
      <c r="E1834" s="1" t="s">
        <v>5690</v>
      </c>
      <c r="F1834" s="3">
        <v>0</v>
      </c>
      <c r="G1834" s="8" t="s">
        <v>2773</v>
      </c>
      <c r="H1834" s="8" t="s">
        <v>5162</v>
      </c>
      <c r="I1834" s="3">
        <v>32</v>
      </c>
      <c r="J1834" s="3" t="s">
        <v>5564</v>
      </c>
      <c r="K1834" s="17" t="str">
        <f>HYPERLINK("http://ictvonline.org/taxonomyHistory.asp?taxnode_id=20171948","ICTVonline=20171948")</f>
        <v>ICTVonline=20171948</v>
      </c>
      <c r="L1834" s="3">
        <v>1833</v>
      </c>
    </row>
    <row r="1835" spans="1:12" x14ac:dyDescent="0.15">
      <c r="A1835" s="1" t="s">
        <v>1081</v>
      </c>
      <c r="B1835" s="1" t="s">
        <v>1125</v>
      </c>
      <c r="D1835" s="1" t="s">
        <v>1126</v>
      </c>
      <c r="E1835" s="1" t="s">
        <v>1127</v>
      </c>
      <c r="F1835" s="3">
        <v>1</v>
      </c>
      <c r="G1835" s="8" t="s">
        <v>2773</v>
      </c>
      <c r="H1835" s="8" t="s">
        <v>5161</v>
      </c>
      <c r="I1835" s="3">
        <v>24</v>
      </c>
      <c r="J1835" s="3" t="s">
        <v>5677</v>
      </c>
      <c r="K1835" s="17" t="str">
        <f>HYPERLINK("http://ictvonline.org/taxonomyHistory.asp?taxnode_id=20171952","ICTVonline=20171952")</f>
        <v>ICTVonline=20171952</v>
      </c>
      <c r="L1835" s="3">
        <v>1834</v>
      </c>
    </row>
    <row r="1836" spans="1:12" x14ac:dyDescent="0.15">
      <c r="A1836" s="1" t="s">
        <v>1081</v>
      </c>
      <c r="B1836" s="1" t="s">
        <v>1128</v>
      </c>
      <c r="D1836" s="1" t="s">
        <v>5691</v>
      </c>
      <c r="E1836" s="1" t="s">
        <v>5692</v>
      </c>
      <c r="F1836" s="3">
        <v>1</v>
      </c>
      <c r="G1836" s="8" t="s">
        <v>2773</v>
      </c>
      <c r="H1836" s="8" t="s">
        <v>5159</v>
      </c>
      <c r="I1836" s="3">
        <v>32</v>
      </c>
      <c r="J1836" s="3" t="s">
        <v>5693</v>
      </c>
      <c r="K1836" s="17" t="str">
        <f>HYPERLINK("http://ictvonline.org/taxonomyHistory.asp?taxnode_id=20175589","ICTVonline=20175589")</f>
        <v>ICTVonline=20175589</v>
      </c>
      <c r="L1836" s="3">
        <v>1835</v>
      </c>
    </row>
    <row r="1837" spans="1:12" x14ac:dyDescent="0.15">
      <c r="A1837" s="1" t="s">
        <v>1081</v>
      </c>
      <c r="B1837" s="1" t="s">
        <v>1128</v>
      </c>
      <c r="D1837" s="1" t="s">
        <v>4811</v>
      </c>
      <c r="E1837" s="1" t="s">
        <v>4812</v>
      </c>
      <c r="F1837" s="3">
        <v>1</v>
      </c>
      <c r="G1837" s="8" t="s">
        <v>2773</v>
      </c>
      <c r="H1837" s="8" t="s">
        <v>5159</v>
      </c>
      <c r="I1837" s="3">
        <v>31</v>
      </c>
      <c r="J1837" s="3" t="s">
        <v>5694</v>
      </c>
      <c r="K1837" s="17" t="str">
        <f>HYPERLINK("http://ictvonline.org/taxonomyHistory.asp?taxnode_id=20171956","ICTVonline=20171956")</f>
        <v>ICTVonline=20171956</v>
      </c>
      <c r="L1837" s="3">
        <v>1836</v>
      </c>
    </row>
    <row r="1838" spans="1:12" x14ac:dyDescent="0.15">
      <c r="A1838" s="1" t="s">
        <v>1081</v>
      </c>
      <c r="B1838" s="1" t="s">
        <v>1128</v>
      </c>
      <c r="D1838" s="1" t="s">
        <v>1049</v>
      </c>
      <c r="E1838" s="1" t="s">
        <v>5</v>
      </c>
      <c r="F1838" s="3">
        <v>0</v>
      </c>
      <c r="G1838" s="8" t="s">
        <v>2773</v>
      </c>
      <c r="H1838" s="8" t="s">
        <v>5159</v>
      </c>
      <c r="I1838" s="3">
        <v>26</v>
      </c>
      <c r="J1838" s="3" t="s">
        <v>5695</v>
      </c>
      <c r="K1838" s="17" t="str">
        <f>HYPERLINK("http://ictvonline.org/taxonomyHistory.asp?taxnode_id=20171958","ICTVonline=20171958")</f>
        <v>ICTVonline=20171958</v>
      </c>
      <c r="L1838" s="3">
        <v>1837</v>
      </c>
    </row>
    <row r="1839" spans="1:12" x14ac:dyDescent="0.15">
      <c r="A1839" s="1" t="s">
        <v>1081</v>
      </c>
      <c r="B1839" s="1" t="s">
        <v>1128</v>
      </c>
      <c r="D1839" s="1" t="s">
        <v>1049</v>
      </c>
      <c r="E1839" s="1" t="s">
        <v>2149</v>
      </c>
      <c r="F1839" s="3">
        <v>0</v>
      </c>
      <c r="G1839" s="8" t="s">
        <v>2773</v>
      </c>
      <c r="H1839" s="8" t="s">
        <v>5159</v>
      </c>
      <c r="I1839" s="3">
        <v>25</v>
      </c>
      <c r="J1839" s="3" t="s">
        <v>5696</v>
      </c>
      <c r="K1839" s="17" t="str">
        <f>HYPERLINK("http://ictvonline.org/taxonomyHistory.asp?taxnode_id=20171959","ICTVonline=20171959")</f>
        <v>ICTVonline=20171959</v>
      </c>
      <c r="L1839" s="3">
        <v>1838</v>
      </c>
    </row>
    <row r="1840" spans="1:12" x14ac:dyDescent="0.15">
      <c r="A1840" s="1" t="s">
        <v>1081</v>
      </c>
      <c r="B1840" s="1" t="s">
        <v>1128</v>
      </c>
      <c r="D1840" s="1" t="s">
        <v>1049</v>
      </c>
      <c r="E1840" s="1" t="s">
        <v>709</v>
      </c>
      <c r="F1840" s="3">
        <v>0</v>
      </c>
      <c r="G1840" s="8" t="s">
        <v>2773</v>
      </c>
      <c r="H1840" s="8" t="s">
        <v>5162</v>
      </c>
      <c r="I1840" s="3">
        <v>29</v>
      </c>
      <c r="J1840" s="3" t="s">
        <v>5697</v>
      </c>
      <c r="K1840" s="17" t="str">
        <f>HYPERLINK("http://ictvonline.org/taxonomyHistory.asp?taxnode_id=20171960","ICTVonline=20171960")</f>
        <v>ICTVonline=20171960</v>
      </c>
      <c r="L1840" s="3">
        <v>1839</v>
      </c>
    </row>
    <row r="1841" spans="1:12" x14ac:dyDescent="0.15">
      <c r="A1841" s="1" t="s">
        <v>1081</v>
      </c>
      <c r="B1841" s="1" t="s">
        <v>1128</v>
      </c>
      <c r="D1841" s="1" t="s">
        <v>1049</v>
      </c>
      <c r="E1841" s="1" t="s">
        <v>1770</v>
      </c>
      <c r="F1841" s="3">
        <v>1</v>
      </c>
      <c r="G1841" s="8" t="s">
        <v>2773</v>
      </c>
      <c r="H1841" s="8" t="s">
        <v>5161</v>
      </c>
      <c r="I1841" s="3">
        <v>24</v>
      </c>
      <c r="J1841" s="3" t="s">
        <v>5677</v>
      </c>
      <c r="K1841" s="17" t="str">
        <f>HYPERLINK("http://ictvonline.org/taxonomyHistory.asp?taxnode_id=20171961","ICTVonline=20171961")</f>
        <v>ICTVonline=20171961</v>
      </c>
      <c r="L1841" s="3">
        <v>1840</v>
      </c>
    </row>
    <row r="1842" spans="1:12" x14ac:dyDescent="0.15">
      <c r="A1842" s="1" t="s">
        <v>1081</v>
      </c>
      <c r="B1842" s="1" t="s">
        <v>1128</v>
      </c>
      <c r="D1842" s="1" t="s">
        <v>2190</v>
      </c>
      <c r="E1842" s="1" t="s">
        <v>2191</v>
      </c>
      <c r="F1842" s="3">
        <v>1</v>
      </c>
      <c r="G1842" s="8" t="s">
        <v>2773</v>
      </c>
      <c r="H1842" s="8" t="s">
        <v>5164</v>
      </c>
      <c r="I1842" s="3">
        <v>27</v>
      </c>
      <c r="J1842" s="3" t="s">
        <v>5698</v>
      </c>
      <c r="K1842" s="17" t="str">
        <f>HYPERLINK("http://ictvonline.org/taxonomyHistory.asp?taxnode_id=20171963","ICTVonline=20171963")</f>
        <v>ICTVonline=20171963</v>
      </c>
      <c r="L1842" s="3">
        <v>1841</v>
      </c>
    </row>
    <row r="1843" spans="1:12" x14ac:dyDescent="0.15">
      <c r="A1843" s="1" t="s">
        <v>1081</v>
      </c>
      <c r="B1843" s="1" t="s">
        <v>1128</v>
      </c>
      <c r="D1843" s="1" t="s">
        <v>1087</v>
      </c>
      <c r="E1843" s="1" t="s">
        <v>2652</v>
      </c>
      <c r="F1843" s="3">
        <v>1</v>
      </c>
      <c r="G1843" s="8" t="s">
        <v>2773</v>
      </c>
      <c r="H1843" s="8" t="s">
        <v>5162</v>
      </c>
      <c r="I1843" s="3">
        <v>29</v>
      </c>
      <c r="J1843" s="3" t="s">
        <v>5697</v>
      </c>
      <c r="K1843" s="17" t="str">
        <f>HYPERLINK("http://ictvonline.org/taxonomyHistory.asp?taxnode_id=20171965","ICTVonline=20171965")</f>
        <v>ICTVonline=20171965</v>
      </c>
      <c r="L1843" s="3">
        <v>1842</v>
      </c>
    </row>
    <row r="1844" spans="1:12" x14ac:dyDescent="0.15">
      <c r="A1844" s="1" t="s">
        <v>1081</v>
      </c>
      <c r="B1844" s="1" t="s">
        <v>1128</v>
      </c>
      <c r="D1844" s="1" t="s">
        <v>2323</v>
      </c>
      <c r="E1844" s="1" t="s">
        <v>2324</v>
      </c>
      <c r="F1844" s="3">
        <v>1</v>
      </c>
      <c r="G1844" s="8" t="s">
        <v>2773</v>
      </c>
      <c r="H1844" s="8" t="s">
        <v>5159</v>
      </c>
      <c r="I1844" s="3">
        <v>28</v>
      </c>
      <c r="J1844" s="3" t="s">
        <v>5699</v>
      </c>
      <c r="K1844" s="17" t="str">
        <f>HYPERLINK("http://ictvonline.org/taxonomyHistory.asp?taxnode_id=20171967","ICTVonline=20171967")</f>
        <v>ICTVonline=20171967</v>
      </c>
      <c r="L1844" s="3">
        <v>1843</v>
      </c>
    </row>
    <row r="1845" spans="1:12" x14ac:dyDescent="0.15">
      <c r="A1845" s="1" t="s">
        <v>1081</v>
      </c>
      <c r="B1845" s="1" t="s">
        <v>1128</v>
      </c>
      <c r="D1845" s="1" t="s">
        <v>2323</v>
      </c>
      <c r="E1845" s="1" t="s">
        <v>4813</v>
      </c>
      <c r="F1845" s="3">
        <v>0</v>
      </c>
      <c r="G1845" s="8" t="s">
        <v>2773</v>
      </c>
      <c r="H1845" s="8" t="s">
        <v>5159</v>
      </c>
      <c r="I1845" s="3">
        <v>31</v>
      </c>
      <c r="J1845" s="3" t="s">
        <v>5700</v>
      </c>
      <c r="K1845" s="17" t="str">
        <f>HYPERLINK("http://ictvonline.org/taxonomyHistory.asp?taxnode_id=20171968","ICTVonline=20171968")</f>
        <v>ICTVonline=20171968</v>
      </c>
      <c r="L1845" s="3">
        <v>1844</v>
      </c>
    </row>
    <row r="1846" spans="1:12" x14ac:dyDescent="0.15">
      <c r="A1846" s="1" t="s">
        <v>1081</v>
      </c>
      <c r="B1846" s="1" t="s">
        <v>1128</v>
      </c>
      <c r="D1846" s="1" t="s">
        <v>2323</v>
      </c>
      <c r="E1846" s="1" t="s">
        <v>4814</v>
      </c>
      <c r="F1846" s="3">
        <v>0</v>
      </c>
      <c r="G1846" s="8" t="s">
        <v>2773</v>
      </c>
      <c r="H1846" s="8" t="s">
        <v>5159</v>
      </c>
      <c r="I1846" s="3">
        <v>31</v>
      </c>
      <c r="J1846" s="3" t="s">
        <v>5700</v>
      </c>
      <c r="K1846" s="17" t="str">
        <f>HYPERLINK("http://ictvonline.org/taxonomyHistory.asp?taxnode_id=20171969","ICTVonline=20171969")</f>
        <v>ICTVonline=20171969</v>
      </c>
      <c r="L1846" s="3">
        <v>1845</v>
      </c>
    </row>
    <row r="1847" spans="1:12" x14ac:dyDescent="0.15">
      <c r="A1847" s="1" t="s">
        <v>1081</v>
      </c>
      <c r="B1847" s="1" t="s">
        <v>1128</v>
      </c>
      <c r="D1847" s="1" t="s">
        <v>5701</v>
      </c>
      <c r="E1847" s="1" t="s">
        <v>5702</v>
      </c>
      <c r="F1847" s="3">
        <v>1</v>
      </c>
      <c r="G1847" s="8" t="s">
        <v>2773</v>
      </c>
      <c r="H1847" s="8" t="s">
        <v>5159</v>
      </c>
      <c r="I1847" s="3">
        <v>32</v>
      </c>
      <c r="J1847" s="3" t="s">
        <v>5703</v>
      </c>
      <c r="K1847" s="17" t="str">
        <f>HYPERLINK("http://ictvonline.org/taxonomyHistory.asp?taxnode_id=20175591","ICTVonline=20175591")</f>
        <v>ICTVonline=20175591</v>
      </c>
      <c r="L1847" s="3">
        <v>1846</v>
      </c>
    </row>
    <row r="1848" spans="1:12" x14ac:dyDescent="0.15">
      <c r="A1848" s="1" t="s">
        <v>1081</v>
      </c>
      <c r="B1848" s="1" t="s">
        <v>1128</v>
      </c>
      <c r="D1848" s="1" t="s">
        <v>1771</v>
      </c>
      <c r="E1848" s="1" t="s">
        <v>2653</v>
      </c>
      <c r="F1848" s="3">
        <v>1</v>
      </c>
      <c r="G1848" s="8" t="s">
        <v>2773</v>
      </c>
      <c r="H1848" s="8" t="s">
        <v>5162</v>
      </c>
      <c r="I1848" s="3">
        <v>29</v>
      </c>
      <c r="J1848" s="3" t="s">
        <v>5697</v>
      </c>
      <c r="K1848" s="17" t="str">
        <f>HYPERLINK("http://ictvonline.org/taxonomyHistory.asp?taxnode_id=20171971","ICTVonline=20171971")</f>
        <v>ICTVonline=20171971</v>
      </c>
      <c r="L1848" s="3">
        <v>1847</v>
      </c>
    </row>
    <row r="1849" spans="1:12" x14ac:dyDescent="0.15">
      <c r="A1849" s="1" t="s">
        <v>1081</v>
      </c>
      <c r="B1849" s="1" t="s">
        <v>1128</v>
      </c>
      <c r="D1849" s="1" t="s">
        <v>1771</v>
      </c>
      <c r="E1849" s="1" t="s">
        <v>2654</v>
      </c>
      <c r="F1849" s="3">
        <v>0</v>
      </c>
      <c r="G1849" s="8" t="s">
        <v>2773</v>
      </c>
      <c r="H1849" s="8" t="s">
        <v>5162</v>
      </c>
      <c r="I1849" s="3">
        <v>29</v>
      </c>
      <c r="J1849" s="3" t="s">
        <v>5697</v>
      </c>
      <c r="K1849" s="17" t="str">
        <f>HYPERLINK("http://ictvonline.org/taxonomyHistory.asp?taxnode_id=20171972","ICTVonline=20171972")</f>
        <v>ICTVonline=20171972</v>
      </c>
      <c r="L1849" s="3">
        <v>1848</v>
      </c>
    </row>
    <row r="1850" spans="1:12" x14ac:dyDescent="0.15">
      <c r="A1850" s="1" t="s">
        <v>1081</v>
      </c>
      <c r="B1850" s="1" t="s">
        <v>1128</v>
      </c>
      <c r="D1850" s="1" t="s">
        <v>1771</v>
      </c>
      <c r="E1850" s="1" t="s">
        <v>2655</v>
      </c>
      <c r="F1850" s="3">
        <v>0</v>
      </c>
      <c r="G1850" s="8" t="s">
        <v>2773</v>
      </c>
      <c r="H1850" s="8" t="s">
        <v>5159</v>
      </c>
      <c r="I1850" s="3">
        <v>29</v>
      </c>
      <c r="J1850" s="3" t="s">
        <v>5704</v>
      </c>
      <c r="K1850" s="17" t="str">
        <f>HYPERLINK("http://ictvonline.org/taxonomyHistory.asp?taxnode_id=20171973","ICTVonline=20171973")</f>
        <v>ICTVonline=20171973</v>
      </c>
      <c r="L1850" s="3">
        <v>1849</v>
      </c>
    </row>
    <row r="1851" spans="1:12" x14ac:dyDescent="0.15">
      <c r="A1851" s="1" t="s">
        <v>1081</v>
      </c>
      <c r="B1851" s="1" t="s">
        <v>1128</v>
      </c>
      <c r="D1851" s="1" t="s">
        <v>2192</v>
      </c>
      <c r="E1851" s="1" t="s">
        <v>2193</v>
      </c>
      <c r="F1851" s="3">
        <v>1</v>
      </c>
      <c r="G1851" s="8" t="s">
        <v>2773</v>
      </c>
      <c r="H1851" s="8" t="s">
        <v>5164</v>
      </c>
      <c r="I1851" s="3">
        <v>27</v>
      </c>
      <c r="J1851" s="3" t="s">
        <v>5705</v>
      </c>
      <c r="K1851" s="17" t="str">
        <f>HYPERLINK("http://ictvonline.org/taxonomyHistory.asp?taxnode_id=20171975","ICTVonline=20171975")</f>
        <v>ICTVonline=20171975</v>
      </c>
      <c r="L1851" s="3">
        <v>1850</v>
      </c>
    </row>
    <row r="1852" spans="1:12" x14ac:dyDescent="0.15">
      <c r="A1852" s="1" t="s">
        <v>1081</v>
      </c>
      <c r="B1852" s="1" t="s">
        <v>1128</v>
      </c>
      <c r="D1852" s="1" t="s">
        <v>2192</v>
      </c>
      <c r="E1852" s="1" t="s">
        <v>4815</v>
      </c>
      <c r="F1852" s="3">
        <v>0</v>
      </c>
      <c r="G1852" s="8" t="s">
        <v>2773</v>
      </c>
      <c r="H1852" s="8" t="s">
        <v>5159</v>
      </c>
      <c r="I1852" s="3">
        <v>31</v>
      </c>
      <c r="J1852" s="3" t="s">
        <v>5706</v>
      </c>
      <c r="K1852" s="17" t="str">
        <f>HYPERLINK("http://ictvonline.org/taxonomyHistory.asp?taxnode_id=20171976","ICTVonline=20171976")</f>
        <v>ICTVonline=20171976</v>
      </c>
      <c r="L1852" s="3">
        <v>1851</v>
      </c>
    </row>
    <row r="1853" spans="1:12" x14ac:dyDescent="0.15">
      <c r="A1853" s="1" t="s">
        <v>1081</v>
      </c>
      <c r="B1853" s="1" t="s">
        <v>1128</v>
      </c>
      <c r="D1853" s="1" t="s">
        <v>2192</v>
      </c>
      <c r="E1853" s="1" t="s">
        <v>4816</v>
      </c>
      <c r="F1853" s="3">
        <v>0</v>
      </c>
      <c r="G1853" s="8" t="s">
        <v>2773</v>
      </c>
      <c r="H1853" s="8" t="s">
        <v>5159</v>
      </c>
      <c r="I1853" s="3">
        <v>31</v>
      </c>
      <c r="J1853" s="3" t="s">
        <v>5706</v>
      </c>
      <c r="K1853" s="17" t="str">
        <f>HYPERLINK("http://ictvonline.org/taxonomyHistory.asp?taxnode_id=20171977","ICTVonline=20171977")</f>
        <v>ICTVonline=20171977</v>
      </c>
      <c r="L1853" s="3">
        <v>1852</v>
      </c>
    </row>
    <row r="1854" spans="1:12" x14ac:dyDescent="0.15">
      <c r="A1854" s="1" t="s">
        <v>1081</v>
      </c>
      <c r="B1854" s="1" t="s">
        <v>1128</v>
      </c>
      <c r="D1854" s="1" t="s">
        <v>2192</v>
      </c>
      <c r="E1854" s="1" t="s">
        <v>4817</v>
      </c>
      <c r="F1854" s="3">
        <v>0</v>
      </c>
      <c r="G1854" s="8" t="s">
        <v>2773</v>
      </c>
      <c r="H1854" s="8" t="s">
        <v>5159</v>
      </c>
      <c r="I1854" s="3">
        <v>31</v>
      </c>
      <c r="J1854" s="3" t="s">
        <v>5706</v>
      </c>
      <c r="K1854" s="17" t="str">
        <f>HYPERLINK("http://ictvonline.org/taxonomyHistory.asp?taxnode_id=20171978","ICTVonline=20171978")</f>
        <v>ICTVonline=20171978</v>
      </c>
      <c r="L1854" s="3">
        <v>1853</v>
      </c>
    </row>
    <row r="1855" spans="1:12" x14ac:dyDescent="0.15">
      <c r="A1855" s="1" t="s">
        <v>1081</v>
      </c>
      <c r="B1855" s="1" t="s">
        <v>1128</v>
      </c>
      <c r="D1855" s="1" t="s">
        <v>2192</v>
      </c>
      <c r="E1855" s="1" t="s">
        <v>4818</v>
      </c>
      <c r="F1855" s="3">
        <v>0</v>
      </c>
      <c r="G1855" s="8" t="s">
        <v>2773</v>
      </c>
      <c r="H1855" s="8" t="s">
        <v>5159</v>
      </c>
      <c r="I1855" s="3">
        <v>31</v>
      </c>
      <c r="J1855" s="3" t="s">
        <v>5706</v>
      </c>
      <c r="K1855" s="17" t="str">
        <f>HYPERLINK("http://ictvonline.org/taxonomyHistory.asp?taxnode_id=20171979","ICTVonline=20171979")</f>
        <v>ICTVonline=20171979</v>
      </c>
      <c r="L1855" s="3">
        <v>1854</v>
      </c>
    </row>
    <row r="1856" spans="1:12" x14ac:dyDescent="0.15">
      <c r="A1856" s="1" t="s">
        <v>1081</v>
      </c>
      <c r="B1856" s="1" t="s">
        <v>1128</v>
      </c>
      <c r="D1856" s="1" t="s">
        <v>5707</v>
      </c>
      <c r="E1856" s="1" t="s">
        <v>5708</v>
      </c>
      <c r="F1856" s="3">
        <v>0</v>
      </c>
      <c r="G1856" s="8" t="s">
        <v>2773</v>
      </c>
      <c r="H1856" s="8" t="s">
        <v>5159</v>
      </c>
      <c r="I1856" s="3">
        <v>32</v>
      </c>
      <c r="J1856" s="3" t="s">
        <v>5709</v>
      </c>
      <c r="K1856" s="17" t="str">
        <f>HYPERLINK("http://ictvonline.org/taxonomyHistory.asp?taxnode_id=20175593","ICTVonline=20175593")</f>
        <v>ICTVonline=20175593</v>
      </c>
      <c r="L1856" s="3">
        <v>1855</v>
      </c>
    </row>
    <row r="1857" spans="1:12" x14ac:dyDescent="0.15">
      <c r="A1857" s="1" t="s">
        <v>1081</v>
      </c>
      <c r="B1857" s="1" t="s">
        <v>1128</v>
      </c>
      <c r="D1857" s="1" t="s">
        <v>5707</v>
      </c>
      <c r="E1857" s="1" t="s">
        <v>5710</v>
      </c>
      <c r="F1857" s="3">
        <v>1</v>
      </c>
      <c r="G1857" s="8" t="s">
        <v>2773</v>
      </c>
      <c r="H1857" s="8" t="s">
        <v>5159</v>
      </c>
      <c r="I1857" s="3">
        <v>32</v>
      </c>
      <c r="J1857" s="3" t="s">
        <v>5709</v>
      </c>
      <c r="K1857" s="17" t="str">
        <f>HYPERLINK("http://ictvonline.org/taxonomyHistory.asp?taxnode_id=20175594","ICTVonline=20175594")</f>
        <v>ICTVonline=20175594</v>
      </c>
      <c r="L1857" s="3">
        <v>1856</v>
      </c>
    </row>
    <row r="1858" spans="1:12" x14ac:dyDescent="0.15">
      <c r="A1858" s="1" t="s">
        <v>1081</v>
      </c>
      <c r="B1858" s="1" t="s">
        <v>1128</v>
      </c>
      <c r="D1858" s="1" t="s">
        <v>2194</v>
      </c>
      <c r="E1858" s="1" t="s">
        <v>2195</v>
      </c>
      <c r="F1858" s="3">
        <v>1</v>
      </c>
      <c r="G1858" s="8" t="s">
        <v>2773</v>
      </c>
      <c r="H1858" s="8" t="s">
        <v>5164</v>
      </c>
      <c r="I1858" s="3">
        <v>27</v>
      </c>
      <c r="J1858" s="3" t="s">
        <v>5711</v>
      </c>
      <c r="K1858" s="17" t="str">
        <f>HYPERLINK("http://ictvonline.org/taxonomyHistory.asp?taxnode_id=20171981","ICTVonline=20171981")</f>
        <v>ICTVonline=20171981</v>
      </c>
      <c r="L1858" s="3">
        <v>1857</v>
      </c>
    </row>
    <row r="1859" spans="1:12" x14ac:dyDescent="0.15">
      <c r="A1859" s="1" t="s">
        <v>1081</v>
      </c>
      <c r="B1859" s="1" t="s">
        <v>1128</v>
      </c>
      <c r="D1859" s="1" t="s">
        <v>626</v>
      </c>
      <c r="E1859" s="1" t="s">
        <v>2196</v>
      </c>
      <c r="F1859" s="3">
        <v>0</v>
      </c>
      <c r="G1859" s="8" t="s">
        <v>2773</v>
      </c>
      <c r="H1859" s="8" t="s">
        <v>5162</v>
      </c>
      <c r="I1859" s="3">
        <v>27</v>
      </c>
      <c r="J1859" s="3" t="s">
        <v>5712</v>
      </c>
      <c r="K1859" s="17" t="str">
        <f>HYPERLINK("http://ictvonline.org/taxonomyHistory.asp?taxnode_id=20171983","ICTVonline=20171983")</f>
        <v>ICTVonline=20171983</v>
      </c>
      <c r="L1859" s="3">
        <v>1858</v>
      </c>
    </row>
    <row r="1860" spans="1:12" x14ac:dyDescent="0.15">
      <c r="A1860" s="1" t="s">
        <v>1081</v>
      </c>
      <c r="B1860" s="1" t="s">
        <v>1128</v>
      </c>
      <c r="D1860" s="1" t="s">
        <v>626</v>
      </c>
      <c r="E1860" s="1" t="s">
        <v>2197</v>
      </c>
      <c r="F1860" s="3">
        <v>0</v>
      </c>
      <c r="G1860" s="8" t="s">
        <v>2773</v>
      </c>
      <c r="H1860" s="8" t="s">
        <v>5162</v>
      </c>
      <c r="I1860" s="3">
        <v>27</v>
      </c>
      <c r="J1860" s="3" t="s">
        <v>5712</v>
      </c>
      <c r="K1860" s="17" t="str">
        <f>HYPERLINK("http://ictvonline.org/taxonomyHistory.asp?taxnode_id=20171984","ICTVonline=20171984")</f>
        <v>ICTVonline=20171984</v>
      </c>
      <c r="L1860" s="3">
        <v>1859</v>
      </c>
    </row>
    <row r="1861" spans="1:12" x14ac:dyDescent="0.15">
      <c r="A1861" s="1" t="s">
        <v>1081</v>
      </c>
      <c r="B1861" s="1" t="s">
        <v>1128</v>
      </c>
      <c r="D1861" s="1" t="s">
        <v>626</v>
      </c>
      <c r="E1861" s="1" t="s">
        <v>2198</v>
      </c>
      <c r="F1861" s="3">
        <v>1</v>
      </c>
      <c r="G1861" s="8" t="s">
        <v>2773</v>
      </c>
      <c r="H1861" s="8" t="s">
        <v>5162</v>
      </c>
      <c r="I1861" s="3">
        <v>27</v>
      </c>
      <c r="J1861" s="3" t="s">
        <v>5712</v>
      </c>
      <c r="K1861" s="17" t="str">
        <f>HYPERLINK("http://ictvonline.org/taxonomyHistory.asp?taxnode_id=20171985","ICTVonline=20171985")</f>
        <v>ICTVonline=20171985</v>
      </c>
      <c r="L1861" s="3">
        <v>1860</v>
      </c>
    </row>
    <row r="1862" spans="1:12" x14ac:dyDescent="0.15">
      <c r="A1862" s="1" t="s">
        <v>1081</v>
      </c>
      <c r="B1862" s="1" t="s">
        <v>1128</v>
      </c>
      <c r="D1862" s="1" t="s">
        <v>626</v>
      </c>
      <c r="E1862" s="1" t="s">
        <v>2199</v>
      </c>
      <c r="F1862" s="3">
        <v>0</v>
      </c>
      <c r="G1862" s="8" t="s">
        <v>2773</v>
      </c>
      <c r="H1862" s="8" t="s">
        <v>5162</v>
      </c>
      <c r="I1862" s="3">
        <v>27</v>
      </c>
      <c r="J1862" s="3" t="s">
        <v>5712</v>
      </c>
      <c r="K1862" s="17" t="str">
        <f>HYPERLINK("http://ictvonline.org/taxonomyHistory.asp?taxnode_id=20171986","ICTVonline=20171986")</f>
        <v>ICTVonline=20171986</v>
      </c>
      <c r="L1862" s="3">
        <v>1861</v>
      </c>
    </row>
    <row r="1863" spans="1:12" x14ac:dyDescent="0.15">
      <c r="A1863" s="1" t="s">
        <v>1081</v>
      </c>
      <c r="B1863" s="1" t="s">
        <v>1128</v>
      </c>
      <c r="D1863" s="1" t="s">
        <v>626</v>
      </c>
      <c r="E1863" s="1" t="s">
        <v>2200</v>
      </c>
      <c r="F1863" s="3">
        <v>0</v>
      </c>
      <c r="G1863" s="8" t="s">
        <v>2773</v>
      </c>
      <c r="H1863" s="8" t="s">
        <v>5162</v>
      </c>
      <c r="I1863" s="3">
        <v>27</v>
      </c>
      <c r="J1863" s="3" t="s">
        <v>5712</v>
      </c>
      <c r="K1863" s="17" t="str">
        <f>HYPERLINK("http://ictvonline.org/taxonomyHistory.asp?taxnode_id=20171987","ICTVonline=20171987")</f>
        <v>ICTVonline=20171987</v>
      </c>
      <c r="L1863" s="3">
        <v>1862</v>
      </c>
    </row>
    <row r="1864" spans="1:12" x14ac:dyDescent="0.15">
      <c r="A1864" s="1" t="s">
        <v>1081</v>
      </c>
      <c r="B1864" s="1" t="s">
        <v>1128</v>
      </c>
      <c r="D1864" s="1" t="s">
        <v>626</v>
      </c>
      <c r="E1864" s="1" t="s">
        <v>2201</v>
      </c>
      <c r="F1864" s="3">
        <v>0</v>
      </c>
      <c r="G1864" s="8" t="s">
        <v>2773</v>
      </c>
      <c r="H1864" s="8" t="s">
        <v>5159</v>
      </c>
      <c r="I1864" s="3">
        <v>27</v>
      </c>
      <c r="J1864" s="3" t="s">
        <v>5712</v>
      </c>
      <c r="K1864" s="17" t="str">
        <f>HYPERLINK("http://ictvonline.org/taxonomyHistory.asp?taxnode_id=20171988","ICTVonline=20171988")</f>
        <v>ICTVonline=20171988</v>
      </c>
      <c r="L1864" s="3">
        <v>1863</v>
      </c>
    </row>
    <row r="1865" spans="1:12" x14ac:dyDescent="0.15">
      <c r="A1865" s="1" t="s">
        <v>1081</v>
      </c>
      <c r="B1865" s="1" t="s">
        <v>1128</v>
      </c>
      <c r="D1865" s="1" t="s">
        <v>626</v>
      </c>
      <c r="E1865" s="1" t="s">
        <v>2202</v>
      </c>
      <c r="F1865" s="3">
        <v>0</v>
      </c>
      <c r="G1865" s="8" t="s">
        <v>2773</v>
      </c>
      <c r="H1865" s="8" t="s">
        <v>5162</v>
      </c>
      <c r="I1865" s="3">
        <v>27</v>
      </c>
      <c r="J1865" s="3" t="s">
        <v>5712</v>
      </c>
      <c r="K1865" s="17" t="str">
        <f>HYPERLINK("http://ictvonline.org/taxonomyHistory.asp?taxnode_id=20171989","ICTVonline=20171989")</f>
        <v>ICTVonline=20171989</v>
      </c>
      <c r="L1865" s="3">
        <v>1864</v>
      </c>
    </row>
    <row r="1866" spans="1:12" x14ac:dyDescent="0.15">
      <c r="A1866" s="1" t="s">
        <v>1081</v>
      </c>
      <c r="B1866" s="1" t="s">
        <v>1128</v>
      </c>
      <c r="D1866" s="1" t="s">
        <v>626</v>
      </c>
      <c r="E1866" s="1" t="s">
        <v>2203</v>
      </c>
      <c r="F1866" s="3">
        <v>0</v>
      </c>
      <c r="G1866" s="8" t="s">
        <v>2773</v>
      </c>
      <c r="H1866" s="8" t="s">
        <v>5162</v>
      </c>
      <c r="I1866" s="3">
        <v>27</v>
      </c>
      <c r="J1866" s="3" t="s">
        <v>5712</v>
      </c>
      <c r="K1866" s="17" t="str">
        <f>HYPERLINK("http://ictvonline.org/taxonomyHistory.asp?taxnode_id=20171990","ICTVonline=20171990")</f>
        <v>ICTVonline=20171990</v>
      </c>
      <c r="L1866" s="3">
        <v>1865</v>
      </c>
    </row>
    <row r="1867" spans="1:12" x14ac:dyDescent="0.15">
      <c r="A1867" s="1" t="s">
        <v>1081</v>
      </c>
      <c r="B1867" s="1" t="s">
        <v>1128</v>
      </c>
      <c r="D1867" s="1" t="s">
        <v>626</v>
      </c>
      <c r="E1867" s="1" t="s">
        <v>4819</v>
      </c>
      <c r="F1867" s="3">
        <v>0</v>
      </c>
      <c r="G1867" s="8" t="s">
        <v>2773</v>
      </c>
      <c r="H1867" s="8" t="s">
        <v>5159</v>
      </c>
      <c r="I1867" s="3">
        <v>31</v>
      </c>
      <c r="J1867" s="3" t="s">
        <v>5713</v>
      </c>
      <c r="K1867" s="17" t="str">
        <f>HYPERLINK("http://ictvonline.org/taxonomyHistory.asp?taxnode_id=20171991","ICTVonline=20171991")</f>
        <v>ICTVonline=20171991</v>
      </c>
      <c r="L1867" s="3">
        <v>1866</v>
      </c>
    </row>
    <row r="1868" spans="1:12" x14ac:dyDescent="0.15">
      <c r="A1868" s="1" t="s">
        <v>1081</v>
      </c>
      <c r="B1868" s="1" t="s">
        <v>1128</v>
      </c>
      <c r="D1868" s="1" t="s">
        <v>626</v>
      </c>
      <c r="E1868" s="1" t="s">
        <v>2204</v>
      </c>
      <c r="F1868" s="3">
        <v>0</v>
      </c>
      <c r="G1868" s="8" t="s">
        <v>2773</v>
      </c>
      <c r="H1868" s="8" t="s">
        <v>5159</v>
      </c>
      <c r="I1868" s="3">
        <v>27</v>
      </c>
      <c r="J1868" s="3" t="s">
        <v>5712</v>
      </c>
      <c r="K1868" s="17" t="str">
        <f>HYPERLINK("http://ictvonline.org/taxonomyHistory.asp?taxnode_id=20171992","ICTVonline=20171992")</f>
        <v>ICTVonline=20171992</v>
      </c>
      <c r="L1868" s="3">
        <v>1867</v>
      </c>
    </row>
    <row r="1869" spans="1:12" x14ac:dyDescent="0.15">
      <c r="A1869" s="1" t="s">
        <v>1081</v>
      </c>
      <c r="B1869" s="1" t="s">
        <v>1128</v>
      </c>
      <c r="D1869" s="1" t="s">
        <v>626</v>
      </c>
      <c r="E1869" s="1" t="s">
        <v>5714</v>
      </c>
      <c r="F1869" s="3">
        <v>0</v>
      </c>
      <c r="G1869" s="8" t="s">
        <v>2773</v>
      </c>
      <c r="H1869" s="8" t="s">
        <v>5159</v>
      </c>
      <c r="I1869" s="3">
        <v>32</v>
      </c>
      <c r="J1869" s="3" t="s">
        <v>5715</v>
      </c>
      <c r="K1869" s="17" t="str">
        <f>HYPERLINK("http://ictvonline.org/taxonomyHistory.asp?taxnode_id=20175596","ICTVonline=20175596")</f>
        <v>ICTVonline=20175596</v>
      </c>
      <c r="L1869" s="3">
        <v>1868</v>
      </c>
    </row>
    <row r="1870" spans="1:12" x14ac:dyDescent="0.15">
      <c r="A1870" s="1" t="s">
        <v>1081</v>
      </c>
      <c r="B1870" s="1" t="s">
        <v>1128</v>
      </c>
      <c r="D1870" s="1" t="s">
        <v>626</v>
      </c>
      <c r="E1870" s="1" t="s">
        <v>5716</v>
      </c>
      <c r="F1870" s="3">
        <v>0</v>
      </c>
      <c r="G1870" s="8" t="s">
        <v>2773</v>
      </c>
      <c r="H1870" s="8" t="s">
        <v>5159</v>
      </c>
      <c r="I1870" s="3">
        <v>32</v>
      </c>
      <c r="J1870" s="3" t="s">
        <v>5715</v>
      </c>
      <c r="K1870" s="17" t="str">
        <f>HYPERLINK("http://ictvonline.org/taxonomyHistory.asp?taxnode_id=20175597","ICTVonline=20175597")</f>
        <v>ICTVonline=20175597</v>
      </c>
      <c r="L1870" s="3">
        <v>1869</v>
      </c>
    </row>
    <row r="1871" spans="1:12" x14ac:dyDescent="0.15">
      <c r="A1871" s="1" t="s">
        <v>1081</v>
      </c>
      <c r="B1871" s="1" t="s">
        <v>1128</v>
      </c>
      <c r="D1871" s="1" t="s">
        <v>626</v>
      </c>
      <c r="E1871" s="1" t="s">
        <v>2205</v>
      </c>
      <c r="F1871" s="3">
        <v>0</v>
      </c>
      <c r="G1871" s="8" t="s">
        <v>2773</v>
      </c>
      <c r="H1871" s="8" t="s">
        <v>5162</v>
      </c>
      <c r="I1871" s="3">
        <v>27</v>
      </c>
      <c r="J1871" s="3" t="s">
        <v>5712</v>
      </c>
      <c r="K1871" s="17" t="str">
        <f>HYPERLINK("http://ictvonline.org/taxonomyHistory.asp?taxnode_id=20171993","ICTVonline=20171993")</f>
        <v>ICTVonline=20171993</v>
      </c>
      <c r="L1871" s="3">
        <v>1870</v>
      </c>
    </row>
    <row r="1872" spans="1:12" x14ac:dyDescent="0.15">
      <c r="A1872" s="1" t="s">
        <v>1081</v>
      </c>
      <c r="B1872" s="1" t="s">
        <v>1128</v>
      </c>
      <c r="D1872" s="1" t="s">
        <v>626</v>
      </c>
      <c r="E1872" s="1" t="s">
        <v>2206</v>
      </c>
      <c r="F1872" s="3">
        <v>0</v>
      </c>
      <c r="G1872" s="8" t="s">
        <v>2773</v>
      </c>
      <c r="H1872" s="8" t="s">
        <v>5162</v>
      </c>
      <c r="I1872" s="3">
        <v>27</v>
      </c>
      <c r="J1872" s="3" t="s">
        <v>5712</v>
      </c>
      <c r="K1872" s="17" t="str">
        <f>HYPERLINK("http://ictvonline.org/taxonomyHistory.asp?taxnode_id=20171994","ICTVonline=20171994")</f>
        <v>ICTVonline=20171994</v>
      </c>
      <c r="L1872" s="3">
        <v>1871</v>
      </c>
    </row>
    <row r="1873" spans="1:12" x14ac:dyDescent="0.15">
      <c r="A1873" s="1" t="s">
        <v>1081</v>
      </c>
      <c r="B1873" s="1" t="s">
        <v>1128</v>
      </c>
      <c r="D1873" s="1" t="s">
        <v>626</v>
      </c>
      <c r="E1873" s="1" t="s">
        <v>2207</v>
      </c>
      <c r="F1873" s="3">
        <v>0</v>
      </c>
      <c r="G1873" s="8" t="s">
        <v>2773</v>
      </c>
      <c r="H1873" s="8" t="s">
        <v>5162</v>
      </c>
      <c r="I1873" s="3">
        <v>27</v>
      </c>
      <c r="J1873" s="3" t="s">
        <v>5712</v>
      </c>
      <c r="K1873" s="17" t="str">
        <f>HYPERLINK("http://ictvonline.org/taxonomyHistory.asp?taxnode_id=20171995","ICTVonline=20171995")</f>
        <v>ICTVonline=20171995</v>
      </c>
      <c r="L1873" s="3">
        <v>1872</v>
      </c>
    </row>
    <row r="1874" spans="1:12" x14ac:dyDescent="0.15">
      <c r="A1874" s="1" t="s">
        <v>1081</v>
      </c>
      <c r="B1874" s="1" t="s">
        <v>1128</v>
      </c>
      <c r="D1874" s="1" t="s">
        <v>629</v>
      </c>
      <c r="E1874" s="1" t="s">
        <v>2656</v>
      </c>
      <c r="F1874" s="3">
        <v>1</v>
      </c>
      <c r="G1874" s="8" t="s">
        <v>2773</v>
      </c>
      <c r="H1874" s="8" t="s">
        <v>5162</v>
      </c>
      <c r="I1874" s="3">
        <v>29</v>
      </c>
      <c r="J1874" s="3" t="s">
        <v>5697</v>
      </c>
      <c r="K1874" s="17" t="str">
        <f>HYPERLINK("http://ictvonline.org/taxonomyHistory.asp?taxnode_id=20171997","ICTVonline=20171997")</f>
        <v>ICTVonline=20171997</v>
      </c>
      <c r="L1874" s="3">
        <v>1873</v>
      </c>
    </row>
    <row r="1875" spans="1:12" x14ac:dyDescent="0.15">
      <c r="A1875" s="1" t="s">
        <v>1081</v>
      </c>
      <c r="B1875" s="1" t="s">
        <v>1128</v>
      </c>
      <c r="D1875" s="1" t="s">
        <v>2325</v>
      </c>
      <c r="E1875" s="1" t="s">
        <v>2326</v>
      </c>
      <c r="F1875" s="3">
        <v>1</v>
      </c>
      <c r="G1875" s="8" t="s">
        <v>2773</v>
      </c>
      <c r="H1875" s="8" t="s">
        <v>5159</v>
      </c>
      <c r="I1875" s="3">
        <v>28</v>
      </c>
      <c r="J1875" s="3" t="s">
        <v>5717</v>
      </c>
      <c r="K1875" s="17" t="str">
        <f>HYPERLINK("http://ictvonline.org/taxonomyHistory.asp?taxnode_id=20171999","ICTVonline=20171999")</f>
        <v>ICTVonline=20171999</v>
      </c>
      <c r="L1875" s="3">
        <v>1874</v>
      </c>
    </row>
    <row r="1876" spans="1:12" x14ac:dyDescent="0.15">
      <c r="A1876" s="1" t="s">
        <v>1081</v>
      </c>
      <c r="B1876" s="1" t="s">
        <v>1128</v>
      </c>
      <c r="D1876" s="1" t="s">
        <v>4820</v>
      </c>
      <c r="E1876" s="1" t="s">
        <v>4821</v>
      </c>
      <c r="F1876" s="3">
        <v>1</v>
      </c>
      <c r="G1876" s="8" t="s">
        <v>2773</v>
      </c>
      <c r="H1876" s="8" t="s">
        <v>5159</v>
      </c>
      <c r="I1876" s="3">
        <v>31</v>
      </c>
      <c r="J1876" s="3" t="s">
        <v>5718</v>
      </c>
      <c r="K1876" s="17" t="str">
        <f>HYPERLINK("http://ictvonline.org/taxonomyHistory.asp?taxnode_id=20172001","ICTVonline=20172001")</f>
        <v>ICTVonline=20172001</v>
      </c>
      <c r="L1876" s="3">
        <v>1875</v>
      </c>
    </row>
    <row r="1877" spans="1:12" x14ac:dyDescent="0.15">
      <c r="A1877" s="1" t="s">
        <v>1081</v>
      </c>
      <c r="B1877" s="1" t="s">
        <v>1128</v>
      </c>
      <c r="D1877" s="1" t="s">
        <v>630</v>
      </c>
      <c r="E1877" s="1" t="s">
        <v>2657</v>
      </c>
      <c r="F1877" s="3">
        <v>1</v>
      </c>
      <c r="G1877" s="8" t="s">
        <v>2773</v>
      </c>
      <c r="H1877" s="8" t="s">
        <v>5162</v>
      </c>
      <c r="I1877" s="3">
        <v>29</v>
      </c>
      <c r="J1877" s="3" t="s">
        <v>5697</v>
      </c>
      <c r="K1877" s="17" t="str">
        <f>HYPERLINK("http://ictvonline.org/taxonomyHistory.asp?taxnode_id=20172003","ICTVonline=20172003")</f>
        <v>ICTVonline=20172003</v>
      </c>
      <c r="L1877" s="3">
        <v>1876</v>
      </c>
    </row>
    <row r="1878" spans="1:12" x14ac:dyDescent="0.15">
      <c r="A1878" s="1" t="s">
        <v>1081</v>
      </c>
      <c r="B1878" s="1" t="s">
        <v>1128</v>
      </c>
      <c r="D1878" s="1" t="s">
        <v>630</v>
      </c>
      <c r="E1878" s="1" t="s">
        <v>4822</v>
      </c>
      <c r="F1878" s="3">
        <v>0</v>
      </c>
      <c r="G1878" s="8" t="s">
        <v>2773</v>
      </c>
      <c r="H1878" s="8" t="s">
        <v>5159</v>
      </c>
      <c r="I1878" s="3">
        <v>31</v>
      </c>
      <c r="J1878" s="3" t="s">
        <v>5719</v>
      </c>
      <c r="K1878" s="17" t="str">
        <f>HYPERLINK("http://ictvonline.org/taxonomyHistory.asp?taxnode_id=20172004","ICTVonline=20172004")</f>
        <v>ICTVonline=20172004</v>
      </c>
      <c r="L1878" s="3">
        <v>1877</v>
      </c>
    </row>
    <row r="1879" spans="1:12" x14ac:dyDescent="0.15">
      <c r="A1879" s="1" t="s">
        <v>1081</v>
      </c>
      <c r="B1879" s="1" t="s">
        <v>1128</v>
      </c>
      <c r="D1879" s="1" t="s">
        <v>630</v>
      </c>
      <c r="E1879" s="1" t="s">
        <v>4823</v>
      </c>
      <c r="F1879" s="3">
        <v>0</v>
      </c>
      <c r="G1879" s="8" t="s">
        <v>2773</v>
      </c>
      <c r="H1879" s="8" t="s">
        <v>5159</v>
      </c>
      <c r="I1879" s="3">
        <v>31</v>
      </c>
      <c r="J1879" s="3" t="s">
        <v>5719</v>
      </c>
      <c r="K1879" s="17" t="str">
        <f>HYPERLINK("http://ictvonline.org/taxonomyHistory.asp?taxnode_id=20172005","ICTVonline=20172005")</f>
        <v>ICTVonline=20172005</v>
      </c>
      <c r="L1879" s="3">
        <v>1878</v>
      </c>
    </row>
    <row r="1880" spans="1:12" x14ac:dyDescent="0.15">
      <c r="A1880" s="1" t="s">
        <v>1081</v>
      </c>
      <c r="B1880" s="1" t="s">
        <v>1128</v>
      </c>
      <c r="D1880" s="1" t="s">
        <v>630</v>
      </c>
      <c r="E1880" s="1" t="s">
        <v>4824</v>
      </c>
      <c r="F1880" s="3">
        <v>0</v>
      </c>
      <c r="G1880" s="8" t="s">
        <v>2773</v>
      </c>
      <c r="H1880" s="8" t="s">
        <v>5159</v>
      </c>
      <c r="I1880" s="3">
        <v>31</v>
      </c>
      <c r="J1880" s="3" t="s">
        <v>5719</v>
      </c>
      <c r="K1880" s="17" t="str">
        <f>HYPERLINK("http://ictvonline.org/taxonomyHistory.asp?taxnode_id=20172006","ICTVonline=20172006")</f>
        <v>ICTVonline=20172006</v>
      </c>
      <c r="L1880" s="3">
        <v>1879</v>
      </c>
    </row>
    <row r="1881" spans="1:12" x14ac:dyDescent="0.15">
      <c r="A1881" s="1" t="s">
        <v>1081</v>
      </c>
      <c r="B1881" s="1" t="s">
        <v>1128</v>
      </c>
      <c r="D1881" s="1" t="s">
        <v>630</v>
      </c>
      <c r="E1881" s="1" t="s">
        <v>4825</v>
      </c>
      <c r="F1881" s="3">
        <v>0</v>
      </c>
      <c r="G1881" s="8" t="s">
        <v>2773</v>
      </c>
      <c r="H1881" s="8" t="s">
        <v>5159</v>
      </c>
      <c r="I1881" s="3">
        <v>31</v>
      </c>
      <c r="J1881" s="3" t="s">
        <v>5719</v>
      </c>
      <c r="K1881" s="17" t="str">
        <f>HYPERLINK("http://ictvonline.org/taxonomyHistory.asp?taxnode_id=20172007","ICTVonline=20172007")</f>
        <v>ICTVonline=20172007</v>
      </c>
      <c r="L1881" s="3">
        <v>1880</v>
      </c>
    </row>
    <row r="1882" spans="1:12" x14ac:dyDescent="0.15">
      <c r="A1882" s="1" t="s">
        <v>1081</v>
      </c>
      <c r="B1882" s="1" t="s">
        <v>1128</v>
      </c>
      <c r="D1882" s="1" t="s">
        <v>630</v>
      </c>
      <c r="E1882" s="1" t="s">
        <v>4826</v>
      </c>
      <c r="F1882" s="3">
        <v>0</v>
      </c>
      <c r="G1882" s="8" t="s">
        <v>2773</v>
      </c>
      <c r="H1882" s="8" t="s">
        <v>5159</v>
      </c>
      <c r="I1882" s="3">
        <v>31</v>
      </c>
      <c r="J1882" s="3" t="s">
        <v>5719</v>
      </c>
      <c r="K1882" s="17" t="str">
        <f>HYPERLINK("http://ictvonline.org/taxonomyHistory.asp?taxnode_id=20172008","ICTVonline=20172008")</f>
        <v>ICTVonline=20172008</v>
      </c>
      <c r="L1882" s="3">
        <v>1881</v>
      </c>
    </row>
    <row r="1883" spans="1:12" x14ac:dyDescent="0.15">
      <c r="A1883" s="1" t="s">
        <v>1081</v>
      </c>
      <c r="B1883" s="1" t="s">
        <v>1128</v>
      </c>
      <c r="D1883" s="1" t="s">
        <v>630</v>
      </c>
      <c r="E1883" s="1" t="s">
        <v>4827</v>
      </c>
      <c r="F1883" s="3">
        <v>0</v>
      </c>
      <c r="G1883" s="8" t="s">
        <v>2773</v>
      </c>
      <c r="H1883" s="8" t="s">
        <v>5159</v>
      </c>
      <c r="I1883" s="3">
        <v>31</v>
      </c>
      <c r="J1883" s="3" t="s">
        <v>5719</v>
      </c>
      <c r="K1883" s="17" t="str">
        <f>HYPERLINK("http://ictvonline.org/taxonomyHistory.asp?taxnode_id=20172009","ICTVonline=20172009")</f>
        <v>ICTVonline=20172009</v>
      </c>
      <c r="L1883" s="3">
        <v>1882</v>
      </c>
    </row>
    <row r="1884" spans="1:12" x14ac:dyDescent="0.15">
      <c r="A1884" s="1" t="s">
        <v>1081</v>
      </c>
      <c r="B1884" s="1" t="s">
        <v>1128</v>
      </c>
      <c r="D1884" s="1" t="s">
        <v>630</v>
      </c>
      <c r="E1884" s="1" t="s">
        <v>4828</v>
      </c>
      <c r="F1884" s="3">
        <v>0</v>
      </c>
      <c r="G1884" s="8" t="s">
        <v>2773</v>
      </c>
      <c r="H1884" s="8" t="s">
        <v>5159</v>
      </c>
      <c r="I1884" s="3">
        <v>31</v>
      </c>
      <c r="J1884" s="3" t="s">
        <v>5719</v>
      </c>
      <c r="K1884" s="17" t="str">
        <f>HYPERLINK("http://ictvonline.org/taxonomyHistory.asp?taxnode_id=20172010","ICTVonline=20172010")</f>
        <v>ICTVonline=20172010</v>
      </c>
      <c r="L1884" s="3">
        <v>1883</v>
      </c>
    </row>
    <row r="1885" spans="1:12" x14ac:dyDescent="0.15">
      <c r="A1885" s="1" t="s">
        <v>1081</v>
      </c>
      <c r="B1885" s="1" t="s">
        <v>1128</v>
      </c>
      <c r="D1885" s="1" t="s">
        <v>630</v>
      </c>
      <c r="E1885" s="1" t="s">
        <v>4829</v>
      </c>
      <c r="F1885" s="3">
        <v>0</v>
      </c>
      <c r="G1885" s="8" t="s">
        <v>2773</v>
      </c>
      <c r="H1885" s="8" t="s">
        <v>5159</v>
      </c>
      <c r="I1885" s="3">
        <v>31</v>
      </c>
      <c r="J1885" s="3" t="s">
        <v>5719</v>
      </c>
      <c r="K1885" s="17" t="str">
        <f>HYPERLINK("http://ictvonline.org/taxonomyHistory.asp?taxnode_id=20172011","ICTVonline=20172011")</f>
        <v>ICTVonline=20172011</v>
      </c>
      <c r="L1885" s="3">
        <v>1884</v>
      </c>
    </row>
    <row r="1886" spans="1:12" x14ac:dyDescent="0.15">
      <c r="A1886" s="1" t="s">
        <v>1081</v>
      </c>
      <c r="B1886" s="1" t="s">
        <v>1128</v>
      </c>
      <c r="D1886" s="1" t="s">
        <v>2327</v>
      </c>
      <c r="E1886" s="1" t="s">
        <v>2328</v>
      </c>
      <c r="F1886" s="3">
        <v>1</v>
      </c>
      <c r="G1886" s="8" t="s">
        <v>2773</v>
      </c>
      <c r="H1886" s="8" t="s">
        <v>5159</v>
      </c>
      <c r="I1886" s="3">
        <v>28</v>
      </c>
      <c r="J1886" s="3" t="s">
        <v>5720</v>
      </c>
      <c r="K1886" s="17" t="str">
        <f>HYPERLINK("http://ictvonline.org/taxonomyHistory.asp?taxnode_id=20172013","ICTVonline=20172013")</f>
        <v>ICTVonline=20172013</v>
      </c>
      <c r="L1886" s="3">
        <v>1885</v>
      </c>
    </row>
    <row r="1887" spans="1:12" x14ac:dyDescent="0.15">
      <c r="A1887" s="1" t="s">
        <v>1081</v>
      </c>
      <c r="B1887" s="1" t="s">
        <v>1128</v>
      </c>
      <c r="D1887" s="1" t="s">
        <v>631</v>
      </c>
      <c r="E1887" s="1" t="s">
        <v>2208</v>
      </c>
      <c r="F1887" s="3">
        <v>1</v>
      </c>
      <c r="G1887" s="8" t="s">
        <v>2773</v>
      </c>
      <c r="H1887" s="8" t="s">
        <v>5162</v>
      </c>
      <c r="I1887" s="3">
        <v>27</v>
      </c>
      <c r="J1887" s="3" t="s">
        <v>5721</v>
      </c>
      <c r="K1887" s="17" t="str">
        <f>HYPERLINK("http://ictvonline.org/taxonomyHistory.asp?taxnode_id=20172015","ICTVonline=20172015")</f>
        <v>ICTVonline=20172015</v>
      </c>
      <c r="L1887" s="3">
        <v>1886</v>
      </c>
    </row>
    <row r="1888" spans="1:12" x14ac:dyDescent="0.15">
      <c r="A1888" s="1" t="s">
        <v>1081</v>
      </c>
      <c r="B1888" s="1" t="s">
        <v>1128</v>
      </c>
      <c r="D1888" s="1" t="s">
        <v>631</v>
      </c>
      <c r="E1888" s="1" t="s">
        <v>2209</v>
      </c>
      <c r="F1888" s="3">
        <v>0</v>
      </c>
      <c r="G1888" s="8" t="s">
        <v>2773</v>
      </c>
      <c r="H1888" s="8" t="s">
        <v>5162</v>
      </c>
      <c r="I1888" s="3">
        <v>27</v>
      </c>
      <c r="J1888" s="3" t="s">
        <v>5721</v>
      </c>
      <c r="K1888" s="17" t="str">
        <f>HYPERLINK("http://ictvonline.org/taxonomyHistory.asp?taxnode_id=20172016","ICTVonline=20172016")</f>
        <v>ICTVonline=20172016</v>
      </c>
      <c r="L1888" s="3">
        <v>1887</v>
      </c>
    </row>
    <row r="1889" spans="1:12" x14ac:dyDescent="0.15">
      <c r="A1889" s="1" t="s">
        <v>1081</v>
      </c>
      <c r="B1889" s="1" t="s">
        <v>1128</v>
      </c>
      <c r="D1889" s="1" t="s">
        <v>631</v>
      </c>
      <c r="E1889" s="1" t="s">
        <v>2210</v>
      </c>
      <c r="F1889" s="3">
        <v>0</v>
      </c>
      <c r="G1889" s="8" t="s">
        <v>2773</v>
      </c>
      <c r="H1889" s="8" t="s">
        <v>5159</v>
      </c>
      <c r="I1889" s="3">
        <v>27</v>
      </c>
      <c r="J1889" s="3" t="s">
        <v>5722</v>
      </c>
      <c r="K1889" s="17" t="str">
        <f>HYPERLINK("http://ictvonline.org/taxonomyHistory.asp?taxnode_id=20172017","ICTVonline=20172017")</f>
        <v>ICTVonline=20172017</v>
      </c>
      <c r="L1889" s="3">
        <v>1888</v>
      </c>
    </row>
    <row r="1890" spans="1:12" x14ac:dyDescent="0.15">
      <c r="A1890" s="1" t="s">
        <v>1081</v>
      </c>
      <c r="B1890" s="1" t="s">
        <v>1128</v>
      </c>
      <c r="D1890" s="1" t="s">
        <v>631</v>
      </c>
      <c r="E1890" s="1" t="s">
        <v>4830</v>
      </c>
      <c r="F1890" s="3">
        <v>0</v>
      </c>
      <c r="G1890" s="8" t="s">
        <v>2773</v>
      </c>
      <c r="H1890" s="8" t="s">
        <v>5159</v>
      </c>
      <c r="I1890" s="3">
        <v>31</v>
      </c>
      <c r="J1890" s="3" t="s">
        <v>5723</v>
      </c>
      <c r="K1890" s="17" t="str">
        <f>HYPERLINK("http://ictvonline.org/taxonomyHistory.asp?taxnode_id=20172018","ICTVonline=20172018")</f>
        <v>ICTVonline=20172018</v>
      </c>
      <c r="L1890" s="3">
        <v>1889</v>
      </c>
    </row>
    <row r="1891" spans="1:12" x14ac:dyDescent="0.15">
      <c r="A1891" s="1" t="s">
        <v>1081</v>
      </c>
      <c r="B1891" s="1" t="s">
        <v>1128</v>
      </c>
      <c r="D1891" s="1" t="s">
        <v>631</v>
      </c>
      <c r="E1891" s="1" t="s">
        <v>4831</v>
      </c>
      <c r="F1891" s="3">
        <v>0</v>
      </c>
      <c r="G1891" s="8" t="s">
        <v>2773</v>
      </c>
      <c r="H1891" s="8" t="s">
        <v>5159</v>
      </c>
      <c r="I1891" s="3">
        <v>31</v>
      </c>
      <c r="J1891" s="3" t="s">
        <v>5723</v>
      </c>
      <c r="K1891" s="17" t="str">
        <f>HYPERLINK("http://ictvonline.org/taxonomyHistory.asp?taxnode_id=20172019","ICTVonline=20172019")</f>
        <v>ICTVonline=20172019</v>
      </c>
      <c r="L1891" s="3">
        <v>1890</v>
      </c>
    </row>
    <row r="1892" spans="1:12" x14ac:dyDescent="0.15">
      <c r="A1892" s="1" t="s">
        <v>1081</v>
      </c>
      <c r="B1892" s="1" t="s">
        <v>1128</v>
      </c>
      <c r="D1892" s="1" t="s">
        <v>631</v>
      </c>
      <c r="E1892" s="1" t="s">
        <v>4832</v>
      </c>
      <c r="F1892" s="3">
        <v>0</v>
      </c>
      <c r="G1892" s="8" t="s">
        <v>2773</v>
      </c>
      <c r="H1892" s="8" t="s">
        <v>5159</v>
      </c>
      <c r="I1892" s="3">
        <v>31</v>
      </c>
      <c r="J1892" s="3" t="s">
        <v>5723</v>
      </c>
      <c r="K1892" s="17" t="str">
        <f>HYPERLINK("http://ictvonline.org/taxonomyHistory.asp?taxnode_id=20172020","ICTVonline=20172020")</f>
        <v>ICTVonline=20172020</v>
      </c>
      <c r="L1892" s="3">
        <v>1891</v>
      </c>
    </row>
    <row r="1893" spans="1:12" x14ac:dyDescent="0.15">
      <c r="A1893" s="1" t="s">
        <v>1081</v>
      </c>
      <c r="B1893" s="1" t="s">
        <v>1128</v>
      </c>
      <c r="D1893" s="1" t="s">
        <v>2658</v>
      </c>
      <c r="E1893" s="1" t="s">
        <v>2659</v>
      </c>
      <c r="F1893" s="3">
        <v>1</v>
      </c>
      <c r="G1893" s="8" t="s">
        <v>2773</v>
      </c>
      <c r="H1893" s="8" t="s">
        <v>5159</v>
      </c>
      <c r="I1893" s="3">
        <v>29</v>
      </c>
      <c r="J1893" s="3" t="s">
        <v>5724</v>
      </c>
      <c r="K1893" s="17" t="str">
        <f>HYPERLINK("http://ictvonline.org/taxonomyHistory.asp?taxnode_id=20172022","ICTVonline=20172022")</f>
        <v>ICTVonline=20172022</v>
      </c>
      <c r="L1893" s="3">
        <v>1892</v>
      </c>
    </row>
    <row r="1894" spans="1:12" x14ac:dyDescent="0.15">
      <c r="A1894" s="1" t="s">
        <v>1081</v>
      </c>
      <c r="B1894" s="1" t="s">
        <v>1128</v>
      </c>
      <c r="D1894" s="1" t="s">
        <v>2658</v>
      </c>
      <c r="E1894" s="1" t="s">
        <v>5725</v>
      </c>
      <c r="F1894" s="3">
        <v>0</v>
      </c>
      <c r="G1894" s="8" t="s">
        <v>2773</v>
      </c>
      <c r="H1894" s="8" t="s">
        <v>5159</v>
      </c>
      <c r="I1894" s="3">
        <v>32</v>
      </c>
      <c r="J1894" s="3" t="s">
        <v>5726</v>
      </c>
      <c r="K1894" s="17" t="str">
        <f>HYPERLINK("http://ictvonline.org/taxonomyHistory.asp?taxnode_id=20175598","ICTVonline=20175598")</f>
        <v>ICTVonline=20175598</v>
      </c>
      <c r="L1894" s="3">
        <v>1893</v>
      </c>
    </row>
    <row r="1895" spans="1:12" x14ac:dyDescent="0.15">
      <c r="A1895" s="1" t="s">
        <v>1081</v>
      </c>
      <c r="B1895" s="1" t="s">
        <v>1128</v>
      </c>
      <c r="D1895" s="1" t="s">
        <v>2658</v>
      </c>
      <c r="E1895" s="1" t="s">
        <v>5727</v>
      </c>
      <c r="F1895" s="3">
        <v>0</v>
      </c>
      <c r="G1895" s="8" t="s">
        <v>2773</v>
      </c>
      <c r="H1895" s="8" t="s">
        <v>5159</v>
      </c>
      <c r="I1895" s="3">
        <v>32</v>
      </c>
      <c r="J1895" s="3" t="s">
        <v>5726</v>
      </c>
      <c r="K1895" s="17" t="str">
        <f>HYPERLINK("http://ictvonline.org/taxonomyHistory.asp?taxnode_id=20175599","ICTVonline=20175599")</f>
        <v>ICTVonline=20175599</v>
      </c>
      <c r="L1895" s="3">
        <v>1894</v>
      </c>
    </row>
    <row r="1896" spans="1:12" x14ac:dyDescent="0.15">
      <c r="A1896" s="1" t="s">
        <v>1081</v>
      </c>
      <c r="B1896" s="1" t="s">
        <v>1128</v>
      </c>
      <c r="D1896" s="1" t="s">
        <v>3780</v>
      </c>
      <c r="E1896" s="1" t="s">
        <v>3781</v>
      </c>
      <c r="F1896" s="3">
        <v>1</v>
      </c>
      <c r="G1896" s="8" t="s">
        <v>2773</v>
      </c>
      <c r="H1896" s="8" t="s">
        <v>5159</v>
      </c>
      <c r="I1896" s="3">
        <v>30</v>
      </c>
      <c r="J1896" s="3" t="s">
        <v>5728</v>
      </c>
      <c r="K1896" s="17" t="str">
        <f>HYPERLINK("http://ictvonline.org/taxonomyHistory.asp?taxnode_id=20172024","ICTVonline=20172024")</f>
        <v>ICTVonline=20172024</v>
      </c>
      <c r="L1896" s="3">
        <v>1895</v>
      </c>
    </row>
    <row r="1897" spans="1:12" x14ac:dyDescent="0.15">
      <c r="A1897" s="1" t="s">
        <v>1081</v>
      </c>
      <c r="B1897" s="1" t="s">
        <v>1128</v>
      </c>
      <c r="D1897" s="1" t="s">
        <v>3780</v>
      </c>
      <c r="E1897" s="1" t="s">
        <v>3782</v>
      </c>
      <c r="F1897" s="3">
        <v>0</v>
      </c>
      <c r="G1897" s="8" t="s">
        <v>2773</v>
      </c>
      <c r="H1897" s="8" t="s">
        <v>5159</v>
      </c>
      <c r="I1897" s="3">
        <v>30</v>
      </c>
      <c r="J1897" s="3" t="s">
        <v>5728</v>
      </c>
      <c r="K1897" s="17" t="str">
        <f>HYPERLINK("http://ictvonline.org/taxonomyHistory.asp?taxnode_id=20172025","ICTVonline=20172025")</f>
        <v>ICTVonline=20172025</v>
      </c>
      <c r="L1897" s="3">
        <v>1896</v>
      </c>
    </row>
    <row r="1898" spans="1:12" x14ac:dyDescent="0.15">
      <c r="A1898" s="1" t="s">
        <v>1081</v>
      </c>
      <c r="B1898" s="1" t="s">
        <v>1128</v>
      </c>
      <c r="D1898" s="1" t="s">
        <v>3780</v>
      </c>
      <c r="E1898" s="1" t="s">
        <v>3783</v>
      </c>
      <c r="F1898" s="3">
        <v>0</v>
      </c>
      <c r="G1898" s="8" t="s">
        <v>2773</v>
      </c>
      <c r="H1898" s="8" t="s">
        <v>5159</v>
      </c>
      <c r="I1898" s="3">
        <v>30</v>
      </c>
      <c r="J1898" s="3" t="s">
        <v>5728</v>
      </c>
      <c r="K1898" s="17" t="str">
        <f>HYPERLINK("http://ictvonline.org/taxonomyHistory.asp?taxnode_id=20172026","ICTVonline=20172026")</f>
        <v>ICTVonline=20172026</v>
      </c>
      <c r="L1898" s="3">
        <v>1897</v>
      </c>
    </row>
    <row r="1899" spans="1:12" x14ac:dyDescent="0.15">
      <c r="A1899" s="1" t="s">
        <v>1081</v>
      </c>
      <c r="B1899" s="1" t="s">
        <v>1128</v>
      </c>
      <c r="D1899" s="1" t="s">
        <v>2211</v>
      </c>
      <c r="E1899" s="1" t="s">
        <v>5729</v>
      </c>
      <c r="F1899" s="3">
        <v>1</v>
      </c>
      <c r="G1899" s="8" t="s">
        <v>2773</v>
      </c>
      <c r="H1899" s="8" t="s">
        <v>5162</v>
      </c>
      <c r="I1899" s="3">
        <v>32</v>
      </c>
      <c r="J1899" s="3" t="s">
        <v>5730</v>
      </c>
      <c r="K1899" s="17" t="str">
        <f>HYPERLINK("http://ictvonline.org/taxonomyHistory.asp?taxnode_id=20172028","ICTVonline=20172028")</f>
        <v>ICTVonline=20172028</v>
      </c>
      <c r="L1899" s="3">
        <v>1898</v>
      </c>
    </row>
    <row r="1900" spans="1:12" x14ac:dyDescent="0.15">
      <c r="A1900" s="1" t="s">
        <v>1081</v>
      </c>
      <c r="B1900" s="1" t="s">
        <v>1128</v>
      </c>
      <c r="D1900" s="1" t="s">
        <v>2211</v>
      </c>
      <c r="E1900" s="1" t="s">
        <v>5731</v>
      </c>
      <c r="F1900" s="3">
        <v>0</v>
      </c>
      <c r="G1900" s="8" t="s">
        <v>2773</v>
      </c>
      <c r="H1900" s="8" t="s">
        <v>5159</v>
      </c>
      <c r="I1900" s="3">
        <v>32</v>
      </c>
      <c r="J1900" s="3" t="s">
        <v>5730</v>
      </c>
      <c r="K1900" s="17" t="str">
        <f>HYPERLINK("http://ictvonline.org/taxonomyHistory.asp?taxnode_id=20175600","ICTVonline=20175600")</f>
        <v>ICTVonline=20175600</v>
      </c>
      <c r="L1900" s="3">
        <v>1899</v>
      </c>
    </row>
    <row r="1901" spans="1:12" x14ac:dyDescent="0.15">
      <c r="A1901" s="1" t="s">
        <v>1081</v>
      </c>
      <c r="B1901" s="1" t="s">
        <v>1128</v>
      </c>
      <c r="D1901" s="1" t="s">
        <v>2211</v>
      </c>
      <c r="E1901" s="1" t="s">
        <v>5732</v>
      </c>
      <c r="F1901" s="3">
        <v>0</v>
      </c>
      <c r="G1901" s="8" t="s">
        <v>2773</v>
      </c>
      <c r="H1901" s="8" t="s">
        <v>5159</v>
      </c>
      <c r="I1901" s="3">
        <v>32</v>
      </c>
      <c r="J1901" s="3" t="s">
        <v>5730</v>
      </c>
      <c r="K1901" s="17" t="str">
        <f>HYPERLINK("http://ictvonline.org/taxonomyHistory.asp?taxnode_id=20175601","ICTVonline=20175601")</f>
        <v>ICTVonline=20175601</v>
      </c>
      <c r="L1901" s="3">
        <v>1900</v>
      </c>
    </row>
    <row r="1902" spans="1:12" x14ac:dyDescent="0.15">
      <c r="A1902" s="1" t="s">
        <v>1081</v>
      </c>
      <c r="B1902" s="1" t="s">
        <v>1128</v>
      </c>
      <c r="D1902" s="1" t="s">
        <v>2211</v>
      </c>
      <c r="E1902" s="1" t="s">
        <v>5733</v>
      </c>
      <c r="F1902" s="3">
        <v>0</v>
      </c>
      <c r="G1902" s="8" t="s">
        <v>2773</v>
      </c>
      <c r="H1902" s="8" t="s">
        <v>5159</v>
      </c>
      <c r="I1902" s="3">
        <v>32</v>
      </c>
      <c r="J1902" s="3" t="s">
        <v>5730</v>
      </c>
      <c r="K1902" s="17" t="str">
        <f>HYPERLINK("http://ictvonline.org/taxonomyHistory.asp?taxnode_id=20175602","ICTVonline=20175602")</f>
        <v>ICTVonline=20175602</v>
      </c>
      <c r="L1902" s="3">
        <v>1901</v>
      </c>
    </row>
    <row r="1903" spans="1:12" x14ac:dyDescent="0.15">
      <c r="A1903" s="1" t="s">
        <v>1081</v>
      </c>
      <c r="B1903" s="1" t="s">
        <v>1128</v>
      </c>
      <c r="D1903" s="1" t="s">
        <v>2211</v>
      </c>
      <c r="E1903" s="1" t="s">
        <v>5734</v>
      </c>
      <c r="F1903" s="3">
        <v>0</v>
      </c>
      <c r="G1903" s="8" t="s">
        <v>2773</v>
      </c>
      <c r="H1903" s="8" t="s">
        <v>5159</v>
      </c>
      <c r="I1903" s="3">
        <v>32</v>
      </c>
      <c r="J1903" s="3" t="s">
        <v>5730</v>
      </c>
      <c r="K1903" s="17" t="str">
        <f>HYPERLINK("http://ictvonline.org/taxonomyHistory.asp?taxnode_id=20175603","ICTVonline=20175603")</f>
        <v>ICTVonline=20175603</v>
      </c>
      <c r="L1903" s="3">
        <v>1902</v>
      </c>
    </row>
    <row r="1904" spans="1:12" x14ac:dyDescent="0.15">
      <c r="A1904" s="1" t="s">
        <v>1081</v>
      </c>
      <c r="B1904" s="1" t="s">
        <v>1128</v>
      </c>
      <c r="D1904" s="1" t="s">
        <v>2329</v>
      </c>
      <c r="E1904" s="1" t="s">
        <v>2330</v>
      </c>
      <c r="F1904" s="3">
        <v>1</v>
      </c>
      <c r="G1904" s="8" t="s">
        <v>2773</v>
      </c>
      <c r="H1904" s="8" t="s">
        <v>5159</v>
      </c>
      <c r="I1904" s="3">
        <v>28</v>
      </c>
      <c r="J1904" s="3" t="s">
        <v>5735</v>
      </c>
      <c r="K1904" s="17" t="str">
        <f>HYPERLINK("http://ictvonline.org/taxonomyHistory.asp?taxnode_id=20172030","ICTVonline=20172030")</f>
        <v>ICTVonline=20172030</v>
      </c>
      <c r="L1904" s="3">
        <v>1903</v>
      </c>
    </row>
    <row r="1905" spans="1:12" x14ac:dyDescent="0.15">
      <c r="A1905" s="1" t="s">
        <v>1081</v>
      </c>
      <c r="B1905" s="1" t="s">
        <v>1128</v>
      </c>
      <c r="D1905" s="1" t="s">
        <v>2329</v>
      </c>
      <c r="E1905" s="1" t="s">
        <v>4833</v>
      </c>
      <c r="F1905" s="3">
        <v>0</v>
      </c>
      <c r="G1905" s="8" t="s">
        <v>2773</v>
      </c>
      <c r="H1905" s="8" t="s">
        <v>5159</v>
      </c>
      <c r="I1905" s="3">
        <v>31</v>
      </c>
      <c r="J1905" s="3" t="s">
        <v>5736</v>
      </c>
      <c r="K1905" s="17" t="str">
        <f>HYPERLINK("http://ictvonline.org/taxonomyHistory.asp?taxnode_id=20172031","ICTVonline=20172031")</f>
        <v>ICTVonline=20172031</v>
      </c>
      <c r="L1905" s="3">
        <v>1904</v>
      </c>
    </row>
    <row r="1906" spans="1:12" x14ac:dyDescent="0.15">
      <c r="A1906" s="1" t="s">
        <v>1081</v>
      </c>
      <c r="B1906" s="1" t="s">
        <v>1128</v>
      </c>
      <c r="D1906" s="1" t="s">
        <v>2329</v>
      </c>
      <c r="E1906" s="1" t="s">
        <v>4834</v>
      </c>
      <c r="F1906" s="3">
        <v>0</v>
      </c>
      <c r="G1906" s="8" t="s">
        <v>2773</v>
      </c>
      <c r="H1906" s="8" t="s">
        <v>5159</v>
      </c>
      <c r="I1906" s="3">
        <v>31</v>
      </c>
      <c r="J1906" s="3" t="s">
        <v>5736</v>
      </c>
      <c r="K1906" s="17" t="str">
        <f>HYPERLINK("http://ictvonline.org/taxonomyHistory.asp?taxnode_id=20172032","ICTVonline=20172032")</f>
        <v>ICTVonline=20172032</v>
      </c>
      <c r="L1906" s="3">
        <v>1905</v>
      </c>
    </row>
    <row r="1907" spans="1:12" x14ac:dyDescent="0.15">
      <c r="A1907" s="1" t="s">
        <v>1081</v>
      </c>
      <c r="B1907" s="1" t="s">
        <v>1128</v>
      </c>
      <c r="D1907" s="1" t="s">
        <v>2331</v>
      </c>
      <c r="E1907" s="1" t="s">
        <v>2332</v>
      </c>
      <c r="F1907" s="3">
        <v>1</v>
      </c>
      <c r="G1907" s="8" t="s">
        <v>2773</v>
      </c>
      <c r="H1907" s="8" t="s">
        <v>5159</v>
      </c>
      <c r="I1907" s="3">
        <v>28</v>
      </c>
      <c r="J1907" s="3" t="s">
        <v>5737</v>
      </c>
      <c r="K1907" s="17" t="str">
        <f>HYPERLINK("http://ictvonline.org/taxonomyHistory.asp?taxnode_id=20172034","ICTVonline=20172034")</f>
        <v>ICTVonline=20172034</v>
      </c>
      <c r="L1907" s="3">
        <v>1906</v>
      </c>
    </row>
    <row r="1908" spans="1:12" x14ac:dyDescent="0.15">
      <c r="A1908" s="1" t="s">
        <v>1081</v>
      </c>
      <c r="B1908" s="1" t="s">
        <v>1128</v>
      </c>
      <c r="D1908" s="1" t="s">
        <v>5738</v>
      </c>
      <c r="E1908" s="1" t="s">
        <v>5739</v>
      </c>
      <c r="F1908" s="3">
        <v>1</v>
      </c>
      <c r="G1908" s="8" t="s">
        <v>2773</v>
      </c>
      <c r="H1908" s="8" t="s">
        <v>5159</v>
      </c>
      <c r="I1908" s="3">
        <v>32</v>
      </c>
      <c r="J1908" s="3" t="s">
        <v>5740</v>
      </c>
      <c r="K1908" s="17" t="str">
        <f>HYPERLINK("http://ictvonline.org/taxonomyHistory.asp?taxnode_id=20175604","ICTVonline=20175604")</f>
        <v>ICTVonline=20175604</v>
      </c>
      <c r="L1908" s="3">
        <v>1907</v>
      </c>
    </row>
    <row r="1909" spans="1:12" x14ac:dyDescent="0.15">
      <c r="A1909" s="1" t="s">
        <v>1081</v>
      </c>
      <c r="B1909" s="1" t="s">
        <v>1128</v>
      </c>
      <c r="D1909" s="1" t="s">
        <v>2333</v>
      </c>
      <c r="E1909" s="1" t="s">
        <v>2334</v>
      </c>
      <c r="F1909" s="3">
        <v>1</v>
      </c>
      <c r="G1909" s="8" t="s">
        <v>2773</v>
      </c>
      <c r="H1909" s="8" t="s">
        <v>5159</v>
      </c>
      <c r="I1909" s="3">
        <v>28</v>
      </c>
      <c r="J1909" s="3" t="s">
        <v>5741</v>
      </c>
      <c r="K1909" s="17" t="str">
        <f>HYPERLINK("http://ictvonline.org/taxonomyHistory.asp?taxnode_id=20172036","ICTVonline=20172036")</f>
        <v>ICTVonline=20172036</v>
      </c>
      <c r="L1909" s="3">
        <v>1908</v>
      </c>
    </row>
    <row r="1910" spans="1:12" x14ac:dyDescent="0.15">
      <c r="A1910" s="1" t="s">
        <v>1081</v>
      </c>
      <c r="B1910" s="1" t="s">
        <v>1128</v>
      </c>
      <c r="D1910" s="1" t="s">
        <v>973</v>
      </c>
      <c r="E1910" s="1" t="s">
        <v>2660</v>
      </c>
      <c r="F1910" s="3">
        <v>1</v>
      </c>
      <c r="G1910" s="8" t="s">
        <v>2773</v>
      </c>
      <c r="H1910" s="8" t="s">
        <v>5162</v>
      </c>
      <c r="I1910" s="3">
        <v>29</v>
      </c>
      <c r="J1910" s="3" t="s">
        <v>5697</v>
      </c>
      <c r="K1910" s="17" t="str">
        <f>HYPERLINK("http://ictvonline.org/taxonomyHistory.asp?taxnode_id=20172038","ICTVonline=20172038")</f>
        <v>ICTVonline=20172038</v>
      </c>
      <c r="L1910" s="3">
        <v>1909</v>
      </c>
    </row>
    <row r="1911" spans="1:12" x14ac:dyDescent="0.15">
      <c r="A1911" s="1" t="s">
        <v>1081</v>
      </c>
      <c r="B1911" s="1" t="s">
        <v>1128</v>
      </c>
      <c r="D1911" s="1" t="s">
        <v>973</v>
      </c>
      <c r="E1911" s="1" t="s">
        <v>2661</v>
      </c>
      <c r="F1911" s="3">
        <v>0</v>
      </c>
      <c r="G1911" s="8" t="s">
        <v>2773</v>
      </c>
      <c r="H1911" s="8" t="s">
        <v>5162</v>
      </c>
      <c r="I1911" s="3">
        <v>29</v>
      </c>
      <c r="J1911" s="3" t="s">
        <v>5697</v>
      </c>
      <c r="K1911" s="17" t="str">
        <f>HYPERLINK("http://ictvonline.org/taxonomyHistory.asp?taxnode_id=20172039","ICTVonline=20172039")</f>
        <v>ICTVonline=20172039</v>
      </c>
      <c r="L1911" s="3">
        <v>1910</v>
      </c>
    </row>
    <row r="1912" spans="1:12" x14ac:dyDescent="0.15">
      <c r="A1912" s="1" t="s">
        <v>1081</v>
      </c>
      <c r="B1912" s="1" t="s">
        <v>1128</v>
      </c>
      <c r="D1912" s="1" t="s">
        <v>973</v>
      </c>
      <c r="E1912" s="1" t="s">
        <v>4835</v>
      </c>
      <c r="F1912" s="3">
        <v>0</v>
      </c>
      <c r="G1912" s="8" t="s">
        <v>2773</v>
      </c>
      <c r="H1912" s="8" t="s">
        <v>5159</v>
      </c>
      <c r="I1912" s="3">
        <v>31</v>
      </c>
      <c r="J1912" s="3" t="s">
        <v>5742</v>
      </c>
      <c r="K1912" s="17" t="str">
        <f>HYPERLINK("http://ictvonline.org/taxonomyHistory.asp?taxnode_id=20172040","ICTVonline=20172040")</f>
        <v>ICTVonline=20172040</v>
      </c>
      <c r="L1912" s="3">
        <v>1911</v>
      </c>
    </row>
    <row r="1913" spans="1:12" x14ac:dyDescent="0.15">
      <c r="A1913" s="1" t="s">
        <v>1081</v>
      </c>
      <c r="B1913" s="1" t="s">
        <v>1128</v>
      </c>
      <c r="D1913" s="1" t="s">
        <v>973</v>
      </c>
      <c r="E1913" s="1" t="s">
        <v>4836</v>
      </c>
      <c r="F1913" s="3">
        <v>0</v>
      </c>
      <c r="G1913" s="8" t="s">
        <v>2773</v>
      </c>
      <c r="H1913" s="8" t="s">
        <v>5159</v>
      </c>
      <c r="I1913" s="3">
        <v>31</v>
      </c>
      <c r="J1913" s="3" t="s">
        <v>5742</v>
      </c>
      <c r="K1913" s="17" t="str">
        <f>HYPERLINK("http://ictvonline.org/taxonomyHistory.asp?taxnode_id=20172041","ICTVonline=20172041")</f>
        <v>ICTVonline=20172041</v>
      </c>
      <c r="L1913" s="3">
        <v>1912</v>
      </c>
    </row>
    <row r="1914" spans="1:12" x14ac:dyDescent="0.15">
      <c r="A1914" s="1" t="s">
        <v>1081</v>
      </c>
      <c r="B1914" s="1" t="s">
        <v>1128</v>
      </c>
      <c r="D1914" s="1" t="s">
        <v>2335</v>
      </c>
      <c r="E1914" s="1" t="s">
        <v>2336</v>
      </c>
      <c r="F1914" s="3">
        <v>1</v>
      </c>
      <c r="G1914" s="8" t="s">
        <v>2773</v>
      </c>
      <c r="H1914" s="8" t="s">
        <v>5159</v>
      </c>
      <c r="I1914" s="3">
        <v>28</v>
      </c>
      <c r="J1914" s="3" t="s">
        <v>5743</v>
      </c>
      <c r="K1914" s="17" t="str">
        <f>HYPERLINK("http://ictvonline.org/taxonomyHistory.asp?taxnode_id=20172043","ICTVonline=20172043")</f>
        <v>ICTVonline=20172043</v>
      </c>
      <c r="L1914" s="3">
        <v>1913</v>
      </c>
    </row>
    <row r="1915" spans="1:12" x14ac:dyDescent="0.15">
      <c r="A1915" s="1" t="s">
        <v>1081</v>
      </c>
      <c r="B1915" s="1" t="s">
        <v>1128</v>
      </c>
      <c r="D1915" s="1" t="s">
        <v>2337</v>
      </c>
      <c r="E1915" s="1" t="s">
        <v>2338</v>
      </c>
      <c r="F1915" s="3">
        <v>1</v>
      </c>
      <c r="G1915" s="8" t="s">
        <v>2773</v>
      </c>
      <c r="H1915" s="8" t="s">
        <v>5159</v>
      </c>
      <c r="I1915" s="3">
        <v>28</v>
      </c>
      <c r="J1915" s="3" t="s">
        <v>5744</v>
      </c>
      <c r="K1915" s="17" t="str">
        <f>HYPERLINK("http://ictvonline.org/taxonomyHistory.asp?taxnode_id=20172045","ICTVonline=20172045")</f>
        <v>ICTVonline=20172045</v>
      </c>
      <c r="L1915" s="3">
        <v>1914</v>
      </c>
    </row>
    <row r="1916" spans="1:12" x14ac:dyDescent="0.15">
      <c r="A1916" s="1" t="s">
        <v>1081</v>
      </c>
      <c r="B1916" s="1" t="s">
        <v>1128</v>
      </c>
      <c r="D1916" s="1" t="s">
        <v>3784</v>
      </c>
      <c r="E1916" s="1" t="s">
        <v>3785</v>
      </c>
      <c r="F1916" s="3">
        <v>1</v>
      </c>
      <c r="G1916" s="8" t="s">
        <v>2773</v>
      </c>
      <c r="H1916" s="8" t="s">
        <v>5159</v>
      </c>
      <c r="I1916" s="3">
        <v>30</v>
      </c>
      <c r="J1916" s="3" t="s">
        <v>5745</v>
      </c>
      <c r="K1916" s="17" t="str">
        <f>HYPERLINK("http://ictvonline.org/taxonomyHistory.asp?taxnode_id=20172047","ICTVonline=20172047")</f>
        <v>ICTVonline=20172047</v>
      </c>
      <c r="L1916" s="3">
        <v>1915</v>
      </c>
    </row>
    <row r="1917" spans="1:12" x14ac:dyDescent="0.15">
      <c r="A1917" s="1" t="s">
        <v>1081</v>
      </c>
      <c r="B1917" s="1" t="s">
        <v>1128</v>
      </c>
      <c r="D1917" s="1" t="s">
        <v>4837</v>
      </c>
      <c r="E1917" s="1" t="s">
        <v>4838</v>
      </c>
      <c r="F1917" s="3">
        <v>1</v>
      </c>
      <c r="G1917" s="8" t="s">
        <v>2773</v>
      </c>
      <c r="H1917" s="8" t="s">
        <v>5159</v>
      </c>
      <c r="I1917" s="3">
        <v>31</v>
      </c>
      <c r="J1917" s="3" t="s">
        <v>5746</v>
      </c>
      <c r="K1917" s="17" t="str">
        <f>HYPERLINK("http://ictvonline.org/taxonomyHistory.asp?taxnode_id=20172049","ICTVonline=20172049")</f>
        <v>ICTVonline=20172049</v>
      </c>
      <c r="L1917" s="3">
        <v>1916</v>
      </c>
    </row>
    <row r="1918" spans="1:12" x14ac:dyDescent="0.15">
      <c r="A1918" s="1" t="s">
        <v>1081</v>
      </c>
      <c r="B1918" s="1" t="s">
        <v>1128</v>
      </c>
      <c r="D1918" s="1" t="s">
        <v>2339</v>
      </c>
      <c r="E1918" s="1" t="s">
        <v>2340</v>
      </c>
      <c r="F1918" s="3">
        <v>1</v>
      </c>
      <c r="G1918" s="8" t="s">
        <v>2773</v>
      </c>
      <c r="H1918" s="8" t="s">
        <v>5159</v>
      </c>
      <c r="I1918" s="3">
        <v>28</v>
      </c>
      <c r="J1918" s="3" t="s">
        <v>5747</v>
      </c>
      <c r="K1918" s="17" t="str">
        <f>HYPERLINK("http://ictvonline.org/taxonomyHistory.asp?taxnode_id=20172051","ICTVonline=20172051")</f>
        <v>ICTVonline=20172051</v>
      </c>
      <c r="L1918" s="3">
        <v>1917</v>
      </c>
    </row>
    <row r="1919" spans="1:12" x14ac:dyDescent="0.15">
      <c r="A1919" s="1" t="s">
        <v>1081</v>
      </c>
      <c r="B1919" s="1" t="s">
        <v>1128</v>
      </c>
      <c r="D1919" s="1" t="s">
        <v>2662</v>
      </c>
      <c r="E1919" s="1" t="s">
        <v>2663</v>
      </c>
      <c r="F1919" s="3">
        <v>1</v>
      </c>
      <c r="G1919" s="8" t="s">
        <v>2773</v>
      </c>
      <c r="H1919" s="8" t="s">
        <v>5159</v>
      </c>
      <c r="I1919" s="3">
        <v>29</v>
      </c>
      <c r="J1919" s="3" t="s">
        <v>5748</v>
      </c>
      <c r="K1919" s="17" t="str">
        <f>HYPERLINK("http://ictvonline.org/taxonomyHistory.asp?taxnode_id=20172053","ICTVonline=20172053")</f>
        <v>ICTVonline=20172053</v>
      </c>
      <c r="L1919" s="3">
        <v>1918</v>
      </c>
    </row>
    <row r="1920" spans="1:12" x14ac:dyDescent="0.15">
      <c r="A1920" s="1" t="s">
        <v>1081</v>
      </c>
      <c r="B1920" s="1" t="s">
        <v>1128</v>
      </c>
      <c r="D1920" s="1" t="s">
        <v>2212</v>
      </c>
      <c r="E1920" s="1" t="s">
        <v>2213</v>
      </c>
      <c r="F1920" s="3">
        <v>1</v>
      </c>
      <c r="G1920" s="8" t="s">
        <v>2773</v>
      </c>
      <c r="H1920" s="8" t="s">
        <v>5164</v>
      </c>
      <c r="I1920" s="3">
        <v>27</v>
      </c>
      <c r="J1920" s="3" t="s">
        <v>5749</v>
      </c>
      <c r="K1920" s="17" t="str">
        <f>HYPERLINK("http://ictvonline.org/taxonomyHistory.asp?taxnode_id=20172055","ICTVonline=20172055")</f>
        <v>ICTVonline=20172055</v>
      </c>
      <c r="L1920" s="3">
        <v>1919</v>
      </c>
    </row>
    <row r="1921" spans="1:12" x14ac:dyDescent="0.15">
      <c r="A1921" s="1" t="s">
        <v>1081</v>
      </c>
      <c r="B1921" s="1" t="s">
        <v>1128</v>
      </c>
      <c r="D1921" s="1" t="s">
        <v>1084</v>
      </c>
      <c r="E1921" s="1" t="s">
        <v>1085</v>
      </c>
      <c r="F1921" s="3">
        <v>0</v>
      </c>
      <c r="G1921" s="8" t="s">
        <v>2773</v>
      </c>
      <c r="H1921" s="8" t="s">
        <v>5159</v>
      </c>
      <c r="I1921" s="3">
        <v>25</v>
      </c>
      <c r="J1921" s="3" t="s">
        <v>5750</v>
      </c>
      <c r="K1921" s="17" t="str">
        <f>HYPERLINK("http://ictvonline.org/taxonomyHistory.asp?taxnode_id=20172057","ICTVonline=20172057")</f>
        <v>ICTVonline=20172057</v>
      </c>
      <c r="L1921" s="3">
        <v>1920</v>
      </c>
    </row>
    <row r="1922" spans="1:12" x14ac:dyDescent="0.15">
      <c r="A1922" s="1" t="s">
        <v>1081</v>
      </c>
      <c r="B1922" s="1" t="s">
        <v>1128</v>
      </c>
      <c r="D1922" s="1" t="s">
        <v>1084</v>
      </c>
      <c r="E1922" s="1" t="s">
        <v>2664</v>
      </c>
      <c r="F1922" s="3">
        <v>1</v>
      </c>
      <c r="G1922" s="8" t="s">
        <v>2773</v>
      </c>
      <c r="H1922" s="8" t="s">
        <v>5162</v>
      </c>
      <c r="I1922" s="3">
        <v>29</v>
      </c>
      <c r="J1922" s="3" t="s">
        <v>5697</v>
      </c>
      <c r="K1922" s="17" t="str">
        <f>HYPERLINK("http://ictvonline.org/taxonomyHistory.asp?taxnode_id=20172058","ICTVonline=20172058")</f>
        <v>ICTVonline=20172058</v>
      </c>
      <c r="L1922" s="3">
        <v>1921</v>
      </c>
    </row>
    <row r="1923" spans="1:12" x14ac:dyDescent="0.15">
      <c r="A1923" s="1" t="s">
        <v>1081</v>
      </c>
      <c r="B1923" s="1" t="s">
        <v>1128</v>
      </c>
      <c r="D1923" s="1" t="s">
        <v>1084</v>
      </c>
      <c r="E1923" s="1" t="s">
        <v>2665</v>
      </c>
      <c r="F1923" s="3">
        <v>0</v>
      </c>
      <c r="G1923" s="8" t="s">
        <v>2773</v>
      </c>
      <c r="H1923" s="8" t="s">
        <v>5162</v>
      </c>
      <c r="I1923" s="3">
        <v>29</v>
      </c>
      <c r="J1923" s="3" t="s">
        <v>5697</v>
      </c>
      <c r="K1923" s="17" t="str">
        <f>HYPERLINK("http://ictvonline.org/taxonomyHistory.asp?taxnode_id=20172059","ICTVonline=20172059")</f>
        <v>ICTVonline=20172059</v>
      </c>
      <c r="L1923" s="3">
        <v>1922</v>
      </c>
    </row>
    <row r="1924" spans="1:12" x14ac:dyDescent="0.15">
      <c r="A1924" s="1" t="s">
        <v>1081</v>
      </c>
      <c r="B1924" s="1" t="s">
        <v>1128</v>
      </c>
      <c r="D1924" s="1" t="s">
        <v>1004</v>
      </c>
      <c r="E1924" s="1" t="s">
        <v>2666</v>
      </c>
      <c r="F1924" s="3">
        <v>1</v>
      </c>
      <c r="G1924" s="8" t="s">
        <v>2773</v>
      </c>
      <c r="H1924" s="8" t="s">
        <v>5162</v>
      </c>
      <c r="I1924" s="3">
        <v>29</v>
      </c>
      <c r="J1924" s="3" t="s">
        <v>5697</v>
      </c>
      <c r="K1924" s="17" t="str">
        <f>HYPERLINK("http://ictvonline.org/taxonomyHistory.asp?taxnode_id=20172061","ICTVonline=20172061")</f>
        <v>ICTVonline=20172061</v>
      </c>
      <c r="L1924" s="3">
        <v>1923</v>
      </c>
    </row>
    <row r="1925" spans="1:12" x14ac:dyDescent="0.15">
      <c r="A1925" s="1" t="s">
        <v>1081</v>
      </c>
      <c r="B1925" s="1" t="s">
        <v>1128</v>
      </c>
      <c r="D1925" s="1" t="s">
        <v>5751</v>
      </c>
      <c r="E1925" s="1" t="s">
        <v>5752</v>
      </c>
      <c r="F1925" s="3">
        <v>1</v>
      </c>
      <c r="G1925" s="8" t="s">
        <v>2773</v>
      </c>
      <c r="H1925" s="8" t="s">
        <v>5159</v>
      </c>
      <c r="I1925" s="3">
        <v>32</v>
      </c>
      <c r="J1925" s="3" t="s">
        <v>5753</v>
      </c>
      <c r="K1925" s="17" t="str">
        <f>HYPERLINK("http://ictvonline.org/taxonomyHistory.asp?taxnode_id=20175606","ICTVonline=20175606")</f>
        <v>ICTVonline=20175606</v>
      </c>
      <c r="L1925" s="3">
        <v>1924</v>
      </c>
    </row>
    <row r="1926" spans="1:12" x14ac:dyDescent="0.15">
      <c r="A1926" s="1" t="s">
        <v>1081</v>
      </c>
      <c r="B1926" s="1" t="s">
        <v>1128</v>
      </c>
      <c r="D1926" s="1" t="s">
        <v>2667</v>
      </c>
      <c r="E1926" s="1" t="s">
        <v>2668</v>
      </c>
      <c r="F1926" s="3">
        <v>1</v>
      </c>
      <c r="G1926" s="8" t="s">
        <v>2773</v>
      </c>
      <c r="H1926" s="8" t="s">
        <v>5159</v>
      </c>
      <c r="I1926" s="3">
        <v>29</v>
      </c>
      <c r="J1926" s="3" t="s">
        <v>5754</v>
      </c>
      <c r="K1926" s="17" t="str">
        <f>HYPERLINK("http://ictvonline.org/taxonomyHistory.asp?taxnode_id=20172063","ICTVonline=20172063")</f>
        <v>ICTVonline=20172063</v>
      </c>
      <c r="L1926" s="3">
        <v>1925</v>
      </c>
    </row>
    <row r="1927" spans="1:12" x14ac:dyDescent="0.15">
      <c r="A1927" s="1" t="s">
        <v>1081</v>
      </c>
      <c r="B1927" s="1" t="s">
        <v>1128</v>
      </c>
      <c r="D1927" s="1" t="s">
        <v>974</v>
      </c>
      <c r="E1927" s="1" t="s">
        <v>2669</v>
      </c>
      <c r="F1927" s="3">
        <v>1</v>
      </c>
      <c r="G1927" s="8" t="s">
        <v>2773</v>
      </c>
      <c r="H1927" s="8" t="s">
        <v>5162</v>
      </c>
      <c r="I1927" s="3">
        <v>29</v>
      </c>
      <c r="J1927" s="3" t="s">
        <v>5697</v>
      </c>
      <c r="K1927" s="17" t="str">
        <f>HYPERLINK("http://ictvonline.org/taxonomyHistory.asp?taxnode_id=20172065","ICTVonline=20172065")</f>
        <v>ICTVonline=20172065</v>
      </c>
      <c r="L1927" s="3">
        <v>1926</v>
      </c>
    </row>
    <row r="1928" spans="1:12" x14ac:dyDescent="0.15">
      <c r="A1928" s="1" t="s">
        <v>1081</v>
      </c>
      <c r="B1928" s="1" t="s">
        <v>1128</v>
      </c>
      <c r="D1928" s="1" t="s">
        <v>4839</v>
      </c>
      <c r="E1928" s="1" t="s">
        <v>4840</v>
      </c>
      <c r="F1928" s="3">
        <v>1</v>
      </c>
      <c r="G1928" s="8" t="s">
        <v>2773</v>
      </c>
      <c r="H1928" s="8" t="s">
        <v>5159</v>
      </c>
      <c r="I1928" s="3">
        <v>31</v>
      </c>
      <c r="J1928" s="3" t="s">
        <v>5755</v>
      </c>
      <c r="K1928" s="17" t="str">
        <f>HYPERLINK("http://ictvonline.org/taxonomyHistory.asp?taxnode_id=20172067","ICTVonline=20172067")</f>
        <v>ICTVonline=20172067</v>
      </c>
      <c r="L1928" s="3">
        <v>1927</v>
      </c>
    </row>
    <row r="1929" spans="1:12" x14ac:dyDescent="0.15">
      <c r="A1929" s="1" t="s">
        <v>1081</v>
      </c>
      <c r="B1929" s="1" t="s">
        <v>1128</v>
      </c>
      <c r="D1929" s="1" t="s">
        <v>1005</v>
      </c>
      <c r="E1929" s="1" t="s">
        <v>2670</v>
      </c>
      <c r="F1929" s="3">
        <v>1</v>
      </c>
      <c r="G1929" s="8" t="s">
        <v>2773</v>
      </c>
      <c r="H1929" s="8" t="s">
        <v>5162</v>
      </c>
      <c r="I1929" s="3">
        <v>29</v>
      </c>
      <c r="J1929" s="3" t="s">
        <v>5697</v>
      </c>
      <c r="K1929" s="17" t="str">
        <f>HYPERLINK("http://ictvonline.org/taxonomyHistory.asp?taxnode_id=20172069","ICTVonline=20172069")</f>
        <v>ICTVonline=20172069</v>
      </c>
      <c r="L1929" s="3">
        <v>1928</v>
      </c>
    </row>
    <row r="1930" spans="1:12" x14ac:dyDescent="0.15">
      <c r="A1930" s="1" t="s">
        <v>1081</v>
      </c>
      <c r="B1930" s="1" t="s">
        <v>5756</v>
      </c>
      <c r="D1930" s="1" t="s">
        <v>5757</v>
      </c>
      <c r="E1930" s="1" t="s">
        <v>5758</v>
      </c>
      <c r="F1930" s="3">
        <v>1</v>
      </c>
      <c r="G1930" s="8" t="s">
        <v>2773</v>
      </c>
      <c r="H1930" s="8" t="s">
        <v>5159</v>
      </c>
      <c r="I1930" s="3">
        <v>32</v>
      </c>
      <c r="J1930" s="3" t="s">
        <v>5759</v>
      </c>
      <c r="K1930" s="17" t="str">
        <f>HYPERLINK("http://ictvonline.org/taxonomyHistory.asp?taxnode_id=20175608","ICTVonline=20175608")</f>
        <v>ICTVonline=20175608</v>
      </c>
      <c r="L1930" s="3">
        <v>1929</v>
      </c>
    </row>
    <row r="1931" spans="1:12" x14ac:dyDescent="0.15">
      <c r="A1931" s="1" t="s">
        <v>1081</v>
      </c>
      <c r="B1931" s="1" t="s">
        <v>5756</v>
      </c>
      <c r="D1931" s="1" t="s">
        <v>5757</v>
      </c>
      <c r="E1931" s="1" t="s">
        <v>5760</v>
      </c>
      <c r="F1931" s="3">
        <v>0</v>
      </c>
      <c r="G1931" s="8" t="s">
        <v>2773</v>
      </c>
      <c r="H1931" s="8" t="s">
        <v>5159</v>
      </c>
      <c r="I1931" s="3">
        <v>32</v>
      </c>
      <c r="J1931" s="3" t="s">
        <v>5759</v>
      </c>
      <c r="K1931" s="17" t="str">
        <f>HYPERLINK("http://ictvonline.org/taxonomyHistory.asp?taxnode_id=20175609","ICTVonline=20175609")</f>
        <v>ICTVonline=20175609</v>
      </c>
      <c r="L1931" s="3">
        <v>1930</v>
      </c>
    </row>
    <row r="1932" spans="1:12" x14ac:dyDescent="0.15">
      <c r="A1932" s="1" t="s">
        <v>1081</v>
      </c>
      <c r="B1932" s="1" t="s">
        <v>5756</v>
      </c>
      <c r="D1932" s="1" t="s">
        <v>5761</v>
      </c>
      <c r="E1932" s="1" t="s">
        <v>5762</v>
      </c>
      <c r="F1932" s="3">
        <v>1</v>
      </c>
      <c r="G1932" s="8" t="s">
        <v>2773</v>
      </c>
      <c r="H1932" s="8" t="s">
        <v>5159</v>
      </c>
      <c r="I1932" s="3">
        <v>32</v>
      </c>
      <c r="J1932" s="3" t="s">
        <v>5759</v>
      </c>
      <c r="K1932" s="17" t="str">
        <f>HYPERLINK("http://ictvonline.org/taxonomyHistory.asp?taxnode_id=20175611","ICTVonline=20175611")</f>
        <v>ICTVonline=20175611</v>
      </c>
      <c r="L1932" s="3">
        <v>1931</v>
      </c>
    </row>
    <row r="1933" spans="1:12" x14ac:dyDescent="0.15">
      <c r="A1933" s="1" t="s">
        <v>1081</v>
      </c>
      <c r="B1933" s="1" t="s">
        <v>5756</v>
      </c>
      <c r="D1933" s="1" t="s">
        <v>5763</v>
      </c>
      <c r="E1933" s="1" t="s">
        <v>5764</v>
      </c>
      <c r="F1933" s="3">
        <v>0</v>
      </c>
      <c r="G1933" s="8" t="s">
        <v>2773</v>
      </c>
      <c r="H1933" s="8" t="s">
        <v>5159</v>
      </c>
      <c r="I1933" s="3">
        <v>32</v>
      </c>
      <c r="J1933" s="3" t="s">
        <v>5759</v>
      </c>
      <c r="K1933" s="17" t="str">
        <f>HYPERLINK("http://ictvonline.org/taxonomyHistory.asp?taxnode_id=20175613","ICTVonline=20175613")</f>
        <v>ICTVonline=20175613</v>
      </c>
      <c r="L1933" s="3">
        <v>1932</v>
      </c>
    </row>
    <row r="1934" spans="1:12" x14ac:dyDescent="0.15">
      <c r="A1934" s="1" t="s">
        <v>1081</v>
      </c>
      <c r="B1934" s="1" t="s">
        <v>5756</v>
      </c>
      <c r="D1934" s="1" t="s">
        <v>5763</v>
      </c>
      <c r="E1934" s="1" t="s">
        <v>5765</v>
      </c>
      <c r="F1934" s="3">
        <v>0</v>
      </c>
      <c r="G1934" s="8" t="s">
        <v>2773</v>
      </c>
      <c r="H1934" s="8" t="s">
        <v>5159</v>
      </c>
      <c r="I1934" s="3">
        <v>32</v>
      </c>
      <c r="J1934" s="3" t="s">
        <v>5759</v>
      </c>
      <c r="K1934" s="17" t="str">
        <f>HYPERLINK("http://ictvonline.org/taxonomyHistory.asp?taxnode_id=20175614","ICTVonline=20175614")</f>
        <v>ICTVonline=20175614</v>
      </c>
      <c r="L1934" s="3">
        <v>1933</v>
      </c>
    </row>
    <row r="1935" spans="1:12" x14ac:dyDescent="0.15">
      <c r="A1935" s="1" t="s">
        <v>1081</v>
      </c>
      <c r="B1935" s="1" t="s">
        <v>5756</v>
      </c>
      <c r="D1935" s="1" t="s">
        <v>5763</v>
      </c>
      <c r="E1935" s="1" t="s">
        <v>5766</v>
      </c>
      <c r="F1935" s="3">
        <v>0</v>
      </c>
      <c r="G1935" s="8" t="s">
        <v>2773</v>
      </c>
      <c r="H1935" s="8" t="s">
        <v>5159</v>
      </c>
      <c r="I1935" s="3">
        <v>32</v>
      </c>
      <c r="J1935" s="3" t="s">
        <v>5759</v>
      </c>
      <c r="K1935" s="17" t="str">
        <f>HYPERLINK("http://ictvonline.org/taxonomyHistory.asp?taxnode_id=20175615","ICTVonline=20175615")</f>
        <v>ICTVonline=20175615</v>
      </c>
      <c r="L1935" s="3">
        <v>1934</v>
      </c>
    </row>
    <row r="1936" spans="1:12" x14ac:dyDescent="0.15">
      <c r="A1936" s="1" t="s">
        <v>1081</v>
      </c>
      <c r="B1936" s="1" t="s">
        <v>5756</v>
      </c>
      <c r="D1936" s="1" t="s">
        <v>5763</v>
      </c>
      <c r="E1936" s="1" t="s">
        <v>5767</v>
      </c>
      <c r="F1936" s="3">
        <v>0</v>
      </c>
      <c r="G1936" s="8" t="s">
        <v>2773</v>
      </c>
      <c r="H1936" s="8" t="s">
        <v>5159</v>
      </c>
      <c r="I1936" s="3">
        <v>32</v>
      </c>
      <c r="J1936" s="3" t="s">
        <v>5759</v>
      </c>
      <c r="K1936" s="17" t="str">
        <f>HYPERLINK("http://ictvonline.org/taxonomyHistory.asp?taxnode_id=20175616","ICTVonline=20175616")</f>
        <v>ICTVonline=20175616</v>
      </c>
      <c r="L1936" s="3">
        <v>1935</v>
      </c>
    </row>
    <row r="1937" spans="1:12" x14ac:dyDescent="0.15">
      <c r="A1937" s="1" t="s">
        <v>1081</v>
      </c>
      <c r="B1937" s="1" t="s">
        <v>5756</v>
      </c>
      <c r="D1937" s="1" t="s">
        <v>5763</v>
      </c>
      <c r="E1937" s="1" t="s">
        <v>5768</v>
      </c>
      <c r="F1937" s="3">
        <v>0</v>
      </c>
      <c r="G1937" s="8" t="s">
        <v>2773</v>
      </c>
      <c r="H1937" s="8" t="s">
        <v>5159</v>
      </c>
      <c r="I1937" s="3">
        <v>32</v>
      </c>
      <c r="J1937" s="3" t="s">
        <v>5759</v>
      </c>
      <c r="K1937" s="17" t="str">
        <f>HYPERLINK("http://ictvonline.org/taxonomyHistory.asp?taxnode_id=20175617","ICTVonline=20175617")</f>
        <v>ICTVonline=20175617</v>
      </c>
      <c r="L1937" s="3">
        <v>1936</v>
      </c>
    </row>
    <row r="1938" spans="1:12" x14ac:dyDescent="0.15">
      <c r="A1938" s="1" t="s">
        <v>1081</v>
      </c>
      <c r="B1938" s="1" t="s">
        <v>5756</v>
      </c>
      <c r="D1938" s="1" t="s">
        <v>5763</v>
      </c>
      <c r="E1938" s="1" t="s">
        <v>5769</v>
      </c>
      <c r="F1938" s="3">
        <v>0</v>
      </c>
      <c r="G1938" s="8" t="s">
        <v>2773</v>
      </c>
      <c r="H1938" s="8" t="s">
        <v>5159</v>
      </c>
      <c r="I1938" s="3">
        <v>32</v>
      </c>
      <c r="J1938" s="3" t="s">
        <v>5759</v>
      </c>
      <c r="K1938" s="17" t="str">
        <f>HYPERLINK("http://ictvonline.org/taxonomyHistory.asp?taxnode_id=20175618","ICTVonline=20175618")</f>
        <v>ICTVonline=20175618</v>
      </c>
      <c r="L1938" s="3">
        <v>1937</v>
      </c>
    </row>
    <row r="1939" spans="1:12" x14ac:dyDescent="0.15">
      <c r="A1939" s="1" t="s">
        <v>1081</v>
      </c>
      <c r="B1939" s="1" t="s">
        <v>5756</v>
      </c>
      <c r="D1939" s="1" t="s">
        <v>5763</v>
      </c>
      <c r="E1939" s="1" t="s">
        <v>5770</v>
      </c>
      <c r="F1939" s="3">
        <v>0</v>
      </c>
      <c r="G1939" s="8" t="s">
        <v>2773</v>
      </c>
      <c r="H1939" s="8" t="s">
        <v>5159</v>
      </c>
      <c r="I1939" s="3">
        <v>32</v>
      </c>
      <c r="J1939" s="3" t="s">
        <v>5759</v>
      </c>
      <c r="K1939" s="17" t="str">
        <f>HYPERLINK("http://ictvonline.org/taxonomyHistory.asp?taxnode_id=20175619","ICTVonline=20175619")</f>
        <v>ICTVonline=20175619</v>
      </c>
      <c r="L1939" s="3">
        <v>1938</v>
      </c>
    </row>
    <row r="1940" spans="1:12" x14ac:dyDescent="0.15">
      <c r="A1940" s="1" t="s">
        <v>1081</v>
      </c>
      <c r="B1940" s="1" t="s">
        <v>5756</v>
      </c>
      <c r="D1940" s="1" t="s">
        <v>5763</v>
      </c>
      <c r="E1940" s="1" t="s">
        <v>5771</v>
      </c>
      <c r="F1940" s="3">
        <v>0</v>
      </c>
      <c r="G1940" s="8" t="s">
        <v>2773</v>
      </c>
      <c r="H1940" s="8" t="s">
        <v>5159</v>
      </c>
      <c r="I1940" s="3">
        <v>32</v>
      </c>
      <c r="J1940" s="3" t="s">
        <v>5759</v>
      </c>
      <c r="K1940" s="17" t="str">
        <f>HYPERLINK("http://ictvonline.org/taxonomyHistory.asp?taxnode_id=20175620","ICTVonline=20175620")</f>
        <v>ICTVonline=20175620</v>
      </c>
      <c r="L1940" s="3">
        <v>1939</v>
      </c>
    </row>
    <row r="1941" spans="1:12" x14ac:dyDescent="0.15">
      <c r="A1941" s="1" t="s">
        <v>1081</v>
      </c>
      <c r="B1941" s="1" t="s">
        <v>5756</v>
      </c>
      <c r="D1941" s="1" t="s">
        <v>5763</v>
      </c>
      <c r="E1941" s="1" t="s">
        <v>5772</v>
      </c>
      <c r="F1941" s="3">
        <v>0</v>
      </c>
      <c r="G1941" s="8" t="s">
        <v>2773</v>
      </c>
      <c r="H1941" s="8" t="s">
        <v>5159</v>
      </c>
      <c r="I1941" s="3">
        <v>32</v>
      </c>
      <c r="J1941" s="3" t="s">
        <v>5759</v>
      </c>
      <c r="K1941" s="17" t="str">
        <f>HYPERLINK("http://ictvonline.org/taxonomyHistory.asp?taxnode_id=20175621","ICTVonline=20175621")</f>
        <v>ICTVonline=20175621</v>
      </c>
      <c r="L1941" s="3">
        <v>1940</v>
      </c>
    </row>
    <row r="1942" spans="1:12" x14ac:dyDescent="0.15">
      <c r="A1942" s="1" t="s">
        <v>1081</v>
      </c>
      <c r="B1942" s="1" t="s">
        <v>5756</v>
      </c>
      <c r="D1942" s="1" t="s">
        <v>5763</v>
      </c>
      <c r="E1942" s="1" t="s">
        <v>5773</v>
      </c>
      <c r="F1942" s="3">
        <v>1</v>
      </c>
      <c r="G1942" s="8" t="s">
        <v>2773</v>
      </c>
      <c r="H1942" s="8" t="s">
        <v>5159</v>
      </c>
      <c r="I1942" s="3">
        <v>32</v>
      </c>
      <c r="J1942" s="3" t="s">
        <v>5759</v>
      </c>
      <c r="K1942" s="17" t="str">
        <f>HYPERLINK("http://ictvonline.org/taxonomyHistory.asp?taxnode_id=20175622","ICTVonline=20175622")</f>
        <v>ICTVonline=20175622</v>
      </c>
      <c r="L1942" s="3">
        <v>1941</v>
      </c>
    </row>
    <row r="1943" spans="1:12" x14ac:dyDescent="0.15">
      <c r="A1943" s="1" t="s">
        <v>1081</v>
      </c>
      <c r="B1943" s="1" t="s">
        <v>5756</v>
      </c>
      <c r="D1943" s="1" t="s">
        <v>5763</v>
      </c>
      <c r="E1943" s="1" t="s">
        <v>5774</v>
      </c>
      <c r="F1943" s="3">
        <v>0</v>
      </c>
      <c r="G1943" s="8" t="s">
        <v>2773</v>
      </c>
      <c r="H1943" s="8" t="s">
        <v>5159</v>
      </c>
      <c r="I1943" s="3">
        <v>32</v>
      </c>
      <c r="J1943" s="3" t="s">
        <v>5759</v>
      </c>
      <c r="K1943" s="17" t="str">
        <f>HYPERLINK("http://ictvonline.org/taxonomyHistory.asp?taxnode_id=20175623","ICTVonline=20175623")</f>
        <v>ICTVonline=20175623</v>
      </c>
      <c r="L1943" s="3">
        <v>1942</v>
      </c>
    </row>
    <row r="1944" spans="1:12" x14ac:dyDescent="0.15">
      <c r="A1944" s="1" t="s">
        <v>1081</v>
      </c>
      <c r="B1944" s="1" t="s">
        <v>2018</v>
      </c>
      <c r="C1944" s="1" t="s">
        <v>1905</v>
      </c>
      <c r="D1944" s="1" t="s">
        <v>1902</v>
      </c>
      <c r="E1944" s="1" t="s">
        <v>689</v>
      </c>
      <c r="F1944" s="3">
        <v>0</v>
      </c>
      <c r="G1944" s="8" t="s">
        <v>2773</v>
      </c>
      <c r="H1944" s="8" t="s">
        <v>5161</v>
      </c>
      <c r="I1944" s="3">
        <v>25</v>
      </c>
      <c r="J1944" s="3" t="s">
        <v>5775</v>
      </c>
      <c r="K1944" s="17" t="str">
        <f>HYPERLINK("http://ictvonline.org/taxonomyHistory.asp?taxnode_id=20172073","ICTVonline=20172073")</f>
        <v>ICTVonline=20172073</v>
      </c>
      <c r="L1944" s="3">
        <v>1943</v>
      </c>
    </row>
    <row r="1945" spans="1:12" x14ac:dyDescent="0.15">
      <c r="A1945" s="1" t="s">
        <v>1081</v>
      </c>
      <c r="B1945" s="1" t="s">
        <v>2018</v>
      </c>
      <c r="C1945" s="1" t="s">
        <v>1905</v>
      </c>
      <c r="D1945" s="1" t="s">
        <v>1902</v>
      </c>
      <c r="E1945" s="1" t="s">
        <v>690</v>
      </c>
      <c r="F1945" s="3">
        <v>0</v>
      </c>
      <c r="G1945" s="8" t="s">
        <v>2773</v>
      </c>
      <c r="H1945" s="8" t="s">
        <v>5161</v>
      </c>
      <c r="I1945" s="3">
        <v>25</v>
      </c>
      <c r="J1945" s="3" t="s">
        <v>5775</v>
      </c>
      <c r="K1945" s="17" t="str">
        <f>HYPERLINK("http://ictvonline.org/taxonomyHistory.asp?taxnode_id=20172074","ICTVonline=20172074")</f>
        <v>ICTVonline=20172074</v>
      </c>
      <c r="L1945" s="3">
        <v>1944</v>
      </c>
    </row>
    <row r="1946" spans="1:12" x14ac:dyDescent="0.15">
      <c r="A1946" s="1" t="s">
        <v>1081</v>
      </c>
      <c r="B1946" s="1" t="s">
        <v>2018</v>
      </c>
      <c r="C1946" s="1" t="s">
        <v>1905</v>
      </c>
      <c r="D1946" s="1" t="s">
        <v>1902</v>
      </c>
      <c r="E1946" s="1" t="s">
        <v>691</v>
      </c>
      <c r="F1946" s="3">
        <v>0</v>
      </c>
      <c r="G1946" s="8" t="s">
        <v>2773</v>
      </c>
      <c r="H1946" s="8" t="s">
        <v>5161</v>
      </c>
      <c r="I1946" s="3">
        <v>25</v>
      </c>
      <c r="J1946" s="3" t="s">
        <v>5775</v>
      </c>
      <c r="K1946" s="17" t="str">
        <f>HYPERLINK("http://ictvonline.org/taxonomyHistory.asp?taxnode_id=20172075","ICTVonline=20172075")</f>
        <v>ICTVonline=20172075</v>
      </c>
      <c r="L1946" s="3">
        <v>1945</v>
      </c>
    </row>
    <row r="1947" spans="1:12" x14ac:dyDescent="0.15">
      <c r="A1947" s="1" t="s">
        <v>1081</v>
      </c>
      <c r="B1947" s="1" t="s">
        <v>2018</v>
      </c>
      <c r="C1947" s="1" t="s">
        <v>1905</v>
      </c>
      <c r="D1947" s="1" t="s">
        <v>1902</v>
      </c>
      <c r="E1947" s="1" t="s">
        <v>692</v>
      </c>
      <c r="F1947" s="3">
        <v>0</v>
      </c>
      <c r="G1947" s="8" t="s">
        <v>2773</v>
      </c>
      <c r="H1947" s="8" t="s">
        <v>5161</v>
      </c>
      <c r="I1947" s="3">
        <v>25</v>
      </c>
      <c r="J1947" s="3" t="s">
        <v>5775</v>
      </c>
      <c r="K1947" s="17" t="str">
        <f>HYPERLINK("http://ictvonline.org/taxonomyHistory.asp?taxnode_id=20172076","ICTVonline=20172076")</f>
        <v>ICTVonline=20172076</v>
      </c>
      <c r="L1947" s="3">
        <v>1946</v>
      </c>
    </row>
    <row r="1948" spans="1:12" x14ac:dyDescent="0.15">
      <c r="A1948" s="1" t="s">
        <v>1081</v>
      </c>
      <c r="B1948" s="1" t="s">
        <v>2018</v>
      </c>
      <c r="C1948" s="1" t="s">
        <v>1905</v>
      </c>
      <c r="D1948" s="1" t="s">
        <v>1902</v>
      </c>
      <c r="E1948" s="1" t="s">
        <v>1082</v>
      </c>
      <c r="F1948" s="3">
        <v>0</v>
      </c>
      <c r="G1948" s="8" t="s">
        <v>2773</v>
      </c>
      <c r="H1948" s="8" t="s">
        <v>5161</v>
      </c>
      <c r="I1948" s="3">
        <v>25</v>
      </c>
      <c r="J1948" s="3" t="s">
        <v>5775</v>
      </c>
      <c r="K1948" s="17" t="str">
        <f>HYPERLINK("http://ictvonline.org/taxonomyHistory.asp?taxnode_id=20172077","ICTVonline=20172077")</f>
        <v>ICTVonline=20172077</v>
      </c>
      <c r="L1948" s="3">
        <v>1947</v>
      </c>
    </row>
    <row r="1949" spans="1:12" x14ac:dyDescent="0.15">
      <c r="A1949" s="1" t="s">
        <v>1081</v>
      </c>
      <c r="B1949" s="1" t="s">
        <v>2018</v>
      </c>
      <c r="C1949" s="1" t="s">
        <v>1905</v>
      </c>
      <c r="D1949" s="1" t="s">
        <v>1902</v>
      </c>
      <c r="E1949" s="1" t="s">
        <v>1083</v>
      </c>
      <c r="F1949" s="3">
        <v>1</v>
      </c>
      <c r="G1949" s="8" t="s">
        <v>2773</v>
      </c>
      <c r="H1949" s="8" t="s">
        <v>5161</v>
      </c>
      <c r="I1949" s="3">
        <v>25</v>
      </c>
      <c r="J1949" s="3" t="s">
        <v>5775</v>
      </c>
      <c r="K1949" s="17" t="str">
        <f>HYPERLINK("http://ictvonline.org/taxonomyHistory.asp?taxnode_id=20172078","ICTVonline=20172078")</f>
        <v>ICTVonline=20172078</v>
      </c>
      <c r="L1949" s="3">
        <v>1948</v>
      </c>
    </row>
    <row r="1950" spans="1:12" x14ac:dyDescent="0.15">
      <c r="A1950" s="1" t="s">
        <v>1081</v>
      </c>
      <c r="B1950" s="1" t="s">
        <v>2018</v>
      </c>
      <c r="C1950" s="1" t="s">
        <v>1905</v>
      </c>
      <c r="D1950" s="1" t="s">
        <v>1902</v>
      </c>
      <c r="E1950" s="1" t="s">
        <v>693</v>
      </c>
      <c r="F1950" s="3">
        <v>0</v>
      </c>
      <c r="G1950" s="8" t="s">
        <v>2773</v>
      </c>
      <c r="H1950" s="8" t="s">
        <v>5161</v>
      </c>
      <c r="I1950" s="3">
        <v>25</v>
      </c>
      <c r="J1950" s="3" t="s">
        <v>5775</v>
      </c>
      <c r="K1950" s="17" t="str">
        <f>HYPERLINK("http://ictvonline.org/taxonomyHistory.asp?taxnode_id=20172079","ICTVonline=20172079")</f>
        <v>ICTVonline=20172079</v>
      </c>
      <c r="L1950" s="3">
        <v>1949</v>
      </c>
    </row>
    <row r="1951" spans="1:12" x14ac:dyDescent="0.15">
      <c r="A1951" s="1" t="s">
        <v>1081</v>
      </c>
      <c r="B1951" s="1" t="s">
        <v>2018</v>
      </c>
      <c r="C1951" s="1" t="s">
        <v>1905</v>
      </c>
      <c r="D1951" s="1" t="s">
        <v>1902</v>
      </c>
      <c r="E1951" s="1" t="s">
        <v>1162</v>
      </c>
      <c r="F1951" s="3">
        <v>0</v>
      </c>
      <c r="G1951" s="8" t="s">
        <v>2773</v>
      </c>
      <c r="H1951" s="8" t="s">
        <v>5161</v>
      </c>
      <c r="I1951" s="3">
        <v>25</v>
      </c>
      <c r="J1951" s="3" t="s">
        <v>5775</v>
      </c>
      <c r="K1951" s="17" t="str">
        <f>HYPERLINK("http://ictvonline.org/taxonomyHistory.asp?taxnode_id=20172080","ICTVonline=20172080")</f>
        <v>ICTVonline=20172080</v>
      </c>
      <c r="L1951" s="3">
        <v>1950</v>
      </c>
    </row>
    <row r="1952" spans="1:12" x14ac:dyDescent="0.15">
      <c r="A1952" s="1" t="s">
        <v>1081</v>
      </c>
      <c r="B1952" s="1" t="s">
        <v>2018</v>
      </c>
      <c r="C1952" s="1" t="s">
        <v>1905</v>
      </c>
      <c r="D1952" s="1" t="s">
        <v>1902</v>
      </c>
      <c r="E1952" s="1" t="s">
        <v>1163</v>
      </c>
      <c r="F1952" s="3">
        <v>0</v>
      </c>
      <c r="G1952" s="8" t="s">
        <v>2773</v>
      </c>
      <c r="H1952" s="8" t="s">
        <v>5161</v>
      </c>
      <c r="I1952" s="3">
        <v>25</v>
      </c>
      <c r="J1952" s="3" t="s">
        <v>5775</v>
      </c>
      <c r="K1952" s="17" t="str">
        <f>HYPERLINK("http://ictvonline.org/taxonomyHistory.asp?taxnode_id=20172081","ICTVonline=20172081")</f>
        <v>ICTVonline=20172081</v>
      </c>
      <c r="L1952" s="3">
        <v>1951</v>
      </c>
    </row>
    <row r="1953" spans="1:12" x14ac:dyDescent="0.15">
      <c r="A1953" s="1" t="s">
        <v>1081</v>
      </c>
      <c r="B1953" s="1" t="s">
        <v>2018</v>
      </c>
      <c r="C1953" s="1" t="s">
        <v>1905</v>
      </c>
      <c r="D1953" s="1" t="s">
        <v>1902</v>
      </c>
      <c r="E1953" s="1" t="s">
        <v>1367</v>
      </c>
      <c r="F1953" s="3">
        <v>0</v>
      </c>
      <c r="G1953" s="8" t="s">
        <v>2773</v>
      </c>
      <c r="H1953" s="8" t="s">
        <v>5161</v>
      </c>
      <c r="I1953" s="3">
        <v>25</v>
      </c>
      <c r="J1953" s="3" t="s">
        <v>5775</v>
      </c>
      <c r="K1953" s="17" t="str">
        <f>HYPERLINK("http://ictvonline.org/taxonomyHistory.asp?taxnode_id=20172082","ICTVonline=20172082")</f>
        <v>ICTVonline=20172082</v>
      </c>
      <c r="L1953" s="3">
        <v>1952</v>
      </c>
    </row>
    <row r="1954" spans="1:12" x14ac:dyDescent="0.15">
      <c r="A1954" s="1" t="s">
        <v>1081</v>
      </c>
      <c r="B1954" s="1" t="s">
        <v>2018</v>
      </c>
      <c r="C1954" s="1" t="s">
        <v>1905</v>
      </c>
      <c r="D1954" s="1" t="s">
        <v>1902</v>
      </c>
      <c r="E1954" s="1" t="s">
        <v>914</v>
      </c>
      <c r="F1954" s="3">
        <v>0</v>
      </c>
      <c r="G1954" s="8" t="s">
        <v>2773</v>
      </c>
      <c r="H1954" s="8" t="s">
        <v>5161</v>
      </c>
      <c r="I1954" s="3">
        <v>25</v>
      </c>
      <c r="J1954" s="3" t="s">
        <v>5775</v>
      </c>
      <c r="K1954" s="17" t="str">
        <f>HYPERLINK("http://ictvonline.org/taxonomyHistory.asp?taxnode_id=20172083","ICTVonline=20172083")</f>
        <v>ICTVonline=20172083</v>
      </c>
      <c r="L1954" s="3">
        <v>1953</v>
      </c>
    </row>
    <row r="1955" spans="1:12" x14ac:dyDescent="0.15">
      <c r="A1955" s="1" t="s">
        <v>1081</v>
      </c>
      <c r="B1955" s="1" t="s">
        <v>2018</v>
      </c>
      <c r="C1955" s="1" t="s">
        <v>1905</v>
      </c>
      <c r="D1955" s="1" t="s">
        <v>1902</v>
      </c>
      <c r="E1955" s="1" t="s">
        <v>915</v>
      </c>
      <c r="F1955" s="3">
        <v>0</v>
      </c>
      <c r="G1955" s="8" t="s">
        <v>2773</v>
      </c>
      <c r="H1955" s="8" t="s">
        <v>5161</v>
      </c>
      <c r="I1955" s="3">
        <v>25</v>
      </c>
      <c r="J1955" s="3" t="s">
        <v>5775</v>
      </c>
      <c r="K1955" s="17" t="str">
        <f>HYPERLINK("http://ictvonline.org/taxonomyHistory.asp?taxnode_id=20172084","ICTVonline=20172084")</f>
        <v>ICTVonline=20172084</v>
      </c>
      <c r="L1955" s="3">
        <v>1954</v>
      </c>
    </row>
    <row r="1956" spans="1:12" x14ac:dyDescent="0.15">
      <c r="A1956" s="1" t="s">
        <v>1081</v>
      </c>
      <c r="B1956" s="1" t="s">
        <v>2018</v>
      </c>
      <c r="C1956" s="1" t="s">
        <v>1905</v>
      </c>
      <c r="D1956" s="1" t="s">
        <v>1902</v>
      </c>
      <c r="E1956" s="1" t="s">
        <v>1369</v>
      </c>
      <c r="F1956" s="3">
        <v>0</v>
      </c>
      <c r="G1956" s="8" t="s">
        <v>2773</v>
      </c>
      <c r="H1956" s="8" t="s">
        <v>5161</v>
      </c>
      <c r="I1956" s="3">
        <v>25</v>
      </c>
      <c r="J1956" s="3" t="s">
        <v>5775</v>
      </c>
      <c r="K1956" s="17" t="str">
        <f>HYPERLINK("http://ictvonline.org/taxonomyHistory.asp?taxnode_id=20172085","ICTVonline=20172085")</f>
        <v>ICTVonline=20172085</v>
      </c>
      <c r="L1956" s="3">
        <v>1955</v>
      </c>
    </row>
    <row r="1957" spans="1:12" x14ac:dyDescent="0.15">
      <c r="A1957" s="1" t="s">
        <v>1081</v>
      </c>
      <c r="B1957" s="1" t="s">
        <v>2018</v>
      </c>
      <c r="C1957" s="1" t="s">
        <v>1905</v>
      </c>
      <c r="D1957" s="1" t="s">
        <v>1902</v>
      </c>
      <c r="E1957" s="1" t="s">
        <v>575</v>
      </c>
      <c r="F1957" s="3">
        <v>0</v>
      </c>
      <c r="G1957" s="8" t="s">
        <v>2773</v>
      </c>
      <c r="H1957" s="8" t="s">
        <v>5161</v>
      </c>
      <c r="I1957" s="3">
        <v>25</v>
      </c>
      <c r="J1957" s="3" t="s">
        <v>5775</v>
      </c>
      <c r="K1957" s="17" t="str">
        <f>HYPERLINK("http://ictvonline.org/taxonomyHistory.asp?taxnode_id=20172086","ICTVonline=20172086")</f>
        <v>ICTVonline=20172086</v>
      </c>
      <c r="L1957" s="3">
        <v>1956</v>
      </c>
    </row>
    <row r="1958" spans="1:12" x14ac:dyDescent="0.15">
      <c r="A1958" s="1" t="s">
        <v>1081</v>
      </c>
      <c r="B1958" s="1" t="s">
        <v>2018</v>
      </c>
      <c r="C1958" s="1" t="s">
        <v>1905</v>
      </c>
      <c r="D1958" s="1" t="s">
        <v>1902</v>
      </c>
      <c r="E1958" s="1" t="s">
        <v>576</v>
      </c>
      <c r="F1958" s="3">
        <v>0</v>
      </c>
      <c r="G1958" s="8" t="s">
        <v>2773</v>
      </c>
      <c r="H1958" s="8" t="s">
        <v>5161</v>
      </c>
      <c r="I1958" s="3">
        <v>25</v>
      </c>
      <c r="J1958" s="3" t="s">
        <v>5775</v>
      </c>
      <c r="K1958" s="17" t="str">
        <f>HYPERLINK("http://ictvonline.org/taxonomyHistory.asp?taxnode_id=20172087","ICTVonline=20172087")</f>
        <v>ICTVonline=20172087</v>
      </c>
      <c r="L1958" s="3">
        <v>1957</v>
      </c>
    </row>
    <row r="1959" spans="1:12" x14ac:dyDescent="0.15">
      <c r="A1959" s="1" t="s">
        <v>1081</v>
      </c>
      <c r="B1959" s="1" t="s">
        <v>2018</v>
      </c>
      <c r="C1959" s="1" t="s">
        <v>1905</v>
      </c>
      <c r="D1959" s="1" t="s">
        <v>1903</v>
      </c>
      <c r="E1959" s="1" t="s">
        <v>577</v>
      </c>
      <c r="F1959" s="3">
        <v>1</v>
      </c>
      <c r="G1959" s="8" t="s">
        <v>2773</v>
      </c>
      <c r="H1959" s="8" t="s">
        <v>5161</v>
      </c>
      <c r="I1959" s="3">
        <v>25</v>
      </c>
      <c r="J1959" s="3" t="s">
        <v>5775</v>
      </c>
      <c r="K1959" s="17" t="str">
        <f>HYPERLINK("http://ictvonline.org/taxonomyHistory.asp?taxnode_id=20172089","ICTVonline=20172089")</f>
        <v>ICTVonline=20172089</v>
      </c>
      <c r="L1959" s="3">
        <v>1958</v>
      </c>
    </row>
    <row r="1960" spans="1:12" x14ac:dyDescent="0.15">
      <c r="A1960" s="1" t="s">
        <v>1081</v>
      </c>
      <c r="B1960" s="1" t="s">
        <v>2018</v>
      </c>
      <c r="C1960" s="1" t="s">
        <v>1905</v>
      </c>
      <c r="D1960" s="1" t="s">
        <v>1903</v>
      </c>
      <c r="E1960" s="1" t="s">
        <v>578</v>
      </c>
      <c r="F1960" s="3">
        <v>0</v>
      </c>
      <c r="G1960" s="8" t="s">
        <v>2773</v>
      </c>
      <c r="H1960" s="8" t="s">
        <v>5161</v>
      </c>
      <c r="I1960" s="3">
        <v>25</v>
      </c>
      <c r="J1960" s="3" t="s">
        <v>5775</v>
      </c>
      <c r="K1960" s="17" t="str">
        <f>HYPERLINK("http://ictvonline.org/taxonomyHistory.asp?taxnode_id=20172090","ICTVonline=20172090")</f>
        <v>ICTVonline=20172090</v>
      </c>
      <c r="L1960" s="3">
        <v>1959</v>
      </c>
    </row>
    <row r="1961" spans="1:12" x14ac:dyDescent="0.15">
      <c r="A1961" s="1" t="s">
        <v>1081</v>
      </c>
      <c r="B1961" s="1" t="s">
        <v>2018</v>
      </c>
      <c r="C1961" s="1" t="s">
        <v>1905</v>
      </c>
      <c r="D1961" s="1" t="s">
        <v>1903</v>
      </c>
      <c r="E1961" s="1" t="s">
        <v>2214</v>
      </c>
      <c r="F1961" s="3">
        <v>0</v>
      </c>
      <c r="G1961" s="8" t="s">
        <v>2773</v>
      </c>
      <c r="H1961" s="8" t="s">
        <v>5159</v>
      </c>
      <c r="I1961" s="3">
        <v>27</v>
      </c>
      <c r="J1961" s="3" t="s">
        <v>5776</v>
      </c>
      <c r="K1961" s="17" t="str">
        <f>HYPERLINK("http://ictvonline.org/taxonomyHistory.asp?taxnode_id=20172091","ICTVonline=20172091")</f>
        <v>ICTVonline=20172091</v>
      </c>
      <c r="L1961" s="3">
        <v>1960</v>
      </c>
    </row>
    <row r="1962" spans="1:12" x14ac:dyDescent="0.15">
      <c r="A1962" s="1" t="s">
        <v>1081</v>
      </c>
      <c r="B1962" s="1" t="s">
        <v>2018</v>
      </c>
      <c r="C1962" s="1" t="s">
        <v>1905</v>
      </c>
      <c r="D1962" s="1" t="s">
        <v>1903</v>
      </c>
      <c r="E1962" s="1" t="s">
        <v>579</v>
      </c>
      <c r="F1962" s="3">
        <v>0</v>
      </c>
      <c r="G1962" s="8" t="s">
        <v>2773</v>
      </c>
      <c r="H1962" s="8" t="s">
        <v>5161</v>
      </c>
      <c r="I1962" s="3">
        <v>25</v>
      </c>
      <c r="J1962" s="3" t="s">
        <v>5775</v>
      </c>
      <c r="K1962" s="17" t="str">
        <f>HYPERLINK("http://ictvonline.org/taxonomyHistory.asp?taxnode_id=20172092","ICTVonline=20172092")</f>
        <v>ICTVonline=20172092</v>
      </c>
      <c r="L1962" s="3">
        <v>1961</v>
      </c>
    </row>
    <row r="1963" spans="1:12" x14ac:dyDescent="0.15">
      <c r="A1963" s="1" t="s">
        <v>1081</v>
      </c>
      <c r="B1963" s="1" t="s">
        <v>2018</v>
      </c>
      <c r="C1963" s="1" t="s">
        <v>1905</v>
      </c>
      <c r="D1963" s="1" t="s">
        <v>1903</v>
      </c>
      <c r="E1963" s="1" t="s">
        <v>5777</v>
      </c>
      <c r="F1963" s="3">
        <v>0</v>
      </c>
      <c r="G1963" s="8" t="s">
        <v>2773</v>
      </c>
      <c r="H1963" s="8" t="s">
        <v>5159</v>
      </c>
      <c r="I1963" s="3">
        <v>32</v>
      </c>
      <c r="J1963" s="3" t="s">
        <v>5778</v>
      </c>
      <c r="K1963" s="17" t="str">
        <f>HYPERLINK("http://ictvonline.org/taxonomyHistory.asp?taxnode_id=20175626","ICTVonline=20175626")</f>
        <v>ICTVonline=20175626</v>
      </c>
      <c r="L1963" s="3">
        <v>1962</v>
      </c>
    </row>
    <row r="1964" spans="1:12" x14ac:dyDescent="0.15">
      <c r="A1964" s="1" t="s">
        <v>1081</v>
      </c>
      <c r="B1964" s="1" t="s">
        <v>2018</v>
      </c>
      <c r="C1964" s="1" t="s">
        <v>1905</v>
      </c>
      <c r="D1964" s="1" t="s">
        <v>1903</v>
      </c>
      <c r="E1964" s="1" t="s">
        <v>920</v>
      </c>
      <c r="F1964" s="3">
        <v>0</v>
      </c>
      <c r="G1964" s="8" t="s">
        <v>2773</v>
      </c>
      <c r="H1964" s="8" t="s">
        <v>5161</v>
      </c>
      <c r="I1964" s="3">
        <v>25</v>
      </c>
      <c r="J1964" s="3" t="s">
        <v>5775</v>
      </c>
      <c r="K1964" s="17" t="str">
        <f>HYPERLINK("http://ictvonline.org/taxonomyHistory.asp?taxnode_id=20172093","ICTVonline=20172093")</f>
        <v>ICTVonline=20172093</v>
      </c>
      <c r="L1964" s="3">
        <v>1963</v>
      </c>
    </row>
    <row r="1965" spans="1:12" x14ac:dyDescent="0.15">
      <c r="A1965" s="1" t="s">
        <v>1081</v>
      </c>
      <c r="B1965" s="1" t="s">
        <v>2018</v>
      </c>
      <c r="C1965" s="1" t="s">
        <v>1905</v>
      </c>
      <c r="D1965" s="1" t="s">
        <v>1903</v>
      </c>
      <c r="E1965" s="1" t="s">
        <v>5779</v>
      </c>
      <c r="F1965" s="3">
        <v>0</v>
      </c>
      <c r="G1965" s="8" t="s">
        <v>2773</v>
      </c>
      <c r="H1965" s="8" t="s">
        <v>5159</v>
      </c>
      <c r="I1965" s="3">
        <v>32</v>
      </c>
      <c r="J1965" s="3" t="s">
        <v>5778</v>
      </c>
      <c r="K1965" s="17" t="str">
        <f>HYPERLINK("http://ictvonline.org/taxonomyHistory.asp?taxnode_id=20175627","ICTVonline=20175627")</f>
        <v>ICTVonline=20175627</v>
      </c>
      <c r="L1965" s="3">
        <v>1964</v>
      </c>
    </row>
    <row r="1966" spans="1:12" x14ac:dyDescent="0.15">
      <c r="A1966" s="1" t="s">
        <v>1081</v>
      </c>
      <c r="B1966" s="1" t="s">
        <v>2018</v>
      </c>
      <c r="C1966" s="1" t="s">
        <v>1905</v>
      </c>
      <c r="D1966" s="1" t="s">
        <v>1904</v>
      </c>
      <c r="E1966" s="1" t="s">
        <v>3786</v>
      </c>
      <c r="F1966" s="3">
        <v>0</v>
      </c>
      <c r="G1966" s="8" t="s">
        <v>2773</v>
      </c>
      <c r="H1966" s="8" t="s">
        <v>5159</v>
      </c>
      <c r="I1966" s="3">
        <v>30</v>
      </c>
      <c r="J1966" s="3" t="s">
        <v>5780</v>
      </c>
      <c r="K1966" s="17" t="str">
        <f>HYPERLINK("http://ictvonline.org/taxonomyHistory.asp?taxnode_id=20172095","ICTVonline=20172095")</f>
        <v>ICTVonline=20172095</v>
      </c>
      <c r="L1966" s="3">
        <v>1965</v>
      </c>
    </row>
    <row r="1967" spans="1:12" x14ac:dyDescent="0.15">
      <c r="A1967" s="1" t="s">
        <v>1081</v>
      </c>
      <c r="B1967" s="1" t="s">
        <v>2018</v>
      </c>
      <c r="C1967" s="1" t="s">
        <v>1905</v>
      </c>
      <c r="D1967" s="1" t="s">
        <v>1904</v>
      </c>
      <c r="E1967" s="1" t="s">
        <v>921</v>
      </c>
      <c r="F1967" s="3">
        <v>0</v>
      </c>
      <c r="G1967" s="8" t="s">
        <v>2773</v>
      </c>
      <c r="H1967" s="8" t="s">
        <v>5161</v>
      </c>
      <c r="I1967" s="3">
        <v>25</v>
      </c>
      <c r="J1967" s="3" t="s">
        <v>5775</v>
      </c>
      <c r="K1967" s="17" t="str">
        <f>HYPERLINK("http://ictvonline.org/taxonomyHistory.asp?taxnode_id=20172096","ICTVonline=20172096")</f>
        <v>ICTVonline=20172096</v>
      </c>
      <c r="L1967" s="3">
        <v>1966</v>
      </c>
    </row>
    <row r="1968" spans="1:12" x14ac:dyDescent="0.15">
      <c r="A1968" s="1" t="s">
        <v>1081</v>
      </c>
      <c r="B1968" s="1" t="s">
        <v>2018</v>
      </c>
      <c r="C1968" s="1" t="s">
        <v>1905</v>
      </c>
      <c r="D1968" s="1" t="s">
        <v>1904</v>
      </c>
      <c r="E1968" s="1" t="s">
        <v>922</v>
      </c>
      <c r="F1968" s="3">
        <v>0</v>
      </c>
      <c r="G1968" s="8" t="s">
        <v>2773</v>
      </c>
      <c r="H1968" s="8" t="s">
        <v>5161</v>
      </c>
      <c r="I1968" s="3">
        <v>25</v>
      </c>
      <c r="J1968" s="3" t="s">
        <v>5775</v>
      </c>
      <c r="K1968" s="17" t="str">
        <f>HYPERLINK("http://ictvonline.org/taxonomyHistory.asp?taxnode_id=20172097","ICTVonline=20172097")</f>
        <v>ICTVonline=20172097</v>
      </c>
      <c r="L1968" s="3">
        <v>1967</v>
      </c>
    </row>
    <row r="1969" spans="1:12" x14ac:dyDescent="0.15">
      <c r="A1969" s="1" t="s">
        <v>1081</v>
      </c>
      <c r="B1969" s="1" t="s">
        <v>2018</v>
      </c>
      <c r="C1969" s="1" t="s">
        <v>1905</v>
      </c>
      <c r="D1969" s="1" t="s">
        <v>1904</v>
      </c>
      <c r="E1969" s="1" t="s">
        <v>923</v>
      </c>
      <c r="F1969" s="3">
        <v>0</v>
      </c>
      <c r="G1969" s="8" t="s">
        <v>2773</v>
      </c>
      <c r="H1969" s="8" t="s">
        <v>5161</v>
      </c>
      <c r="I1969" s="3">
        <v>25</v>
      </c>
      <c r="J1969" s="3" t="s">
        <v>5775</v>
      </c>
      <c r="K1969" s="17" t="str">
        <f>HYPERLINK("http://ictvonline.org/taxonomyHistory.asp?taxnode_id=20172098","ICTVonline=20172098")</f>
        <v>ICTVonline=20172098</v>
      </c>
      <c r="L1969" s="3">
        <v>1968</v>
      </c>
    </row>
    <row r="1970" spans="1:12" x14ac:dyDescent="0.15">
      <c r="A1970" s="1" t="s">
        <v>1081</v>
      </c>
      <c r="B1970" s="1" t="s">
        <v>2018</v>
      </c>
      <c r="C1970" s="1" t="s">
        <v>1905</v>
      </c>
      <c r="D1970" s="1" t="s">
        <v>1904</v>
      </c>
      <c r="E1970" s="1" t="s">
        <v>581</v>
      </c>
      <c r="F1970" s="3">
        <v>0</v>
      </c>
      <c r="G1970" s="8" t="s">
        <v>2773</v>
      </c>
      <c r="H1970" s="8" t="s">
        <v>5161</v>
      </c>
      <c r="I1970" s="3">
        <v>25</v>
      </c>
      <c r="J1970" s="3" t="s">
        <v>5775</v>
      </c>
      <c r="K1970" s="17" t="str">
        <f>HYPERLINK("http://ictvonline.org/taxonomyHistory.asp?taxnode_id=20172099","ICTVonline=20172099")</f>
        <v>ICTVonline=20172099</v>
      </c>
      <c r="L1970" s="3">
        <v>1969</v>
      </c>
    </row>
    <row r="1971" spans="1:12" x14ac:dyDescent="0.15">
      <c r="A1971" s="1" t="s">
        <v>1081</v>
      </c>
      <c r="B1971" s="1" t="s">
        <v>2018</v>
      </c>
      <c r="C1971" s="1" t="s">
        <v>1905</v>
      </c>
      <c r="D1971" s="1" t="s">
        <v>1904</v>
      </c>
      <c r="E1971" s="1" t="s">
        <v>582</v>
      </c>
      <c r="F1971" s="3">
        <v>0</v>
      </c>
      <c r="G1971" s="8" t="s">
        <v>2773</v>
      </c>
      <c r="H1971" s="8" t="s">
        <v>5161</v>
      </c>
      <c r="I1971" s="3">
        <v>25</v>
      </c>
      <c r="J1971" s="3" t="s">
        <v>5775</v>
      </c>
      <c r="K1971" s="17" t="str">
        <f>HYPERLINK("http://ictvonline.org/taxonomyHistory.asp?taxnode_id=20172100","ICTVonline=20172100")</f>
        <v>ICTVonline=20172100</v>
      </c>
      <c r="L1971" s="3">
        <v>1970</v>
      </c>
    </row>
    <row r="1972" spans="1:12" x14ac:dyDescent="0.15">
      <c r="A1972" s="1" t="s">
        <v>1081</v>
      </c>
      <c r="B1972" s="1" t="s">
        <v>2018</v>
      </c>
      <c r="C1972" s="1" t="s">
        <v>1905</v>
      </c>
      <c r="D1972" s="1" t="s">
        <v>1904</v>
      </c>
      <c r="E1972" s="1" t="s">
        <v>583</v>
      </c>
      <c r="F1972" s="3">
        <v>0</v>
      </c>
      <c r="G1972" s="8" t="s">
        <v>2773</v>
      </c>
      <c r="H1972" s="8" t="s">
        <v>5161</v>
      </c>
      <c r="I1972" s="3">
        <v>25</v>
      </c>
      <c r="J1972" s="3" t="s">
        <v>5775</v>
      </c>
      <c r="K1972" s="17" t="str">
        <f>HYPERLINK("http://ictvonline.org/taxonomyHistory.asp?taxnode_id=20172101","ICTVonline=20172101")</f>
        <v>ICTVonline=20172101</v>
      </c>
      <c r="L1972" s="3">
        <v>1971</v>
      </c>
    </row>
    <row r="1973" spans="1:12" x14ac:dyDescent="0.15">
      <c r="A1973" s="1" t="s">
        <v>1081</v>
      </c>
      <c r="B1973" s="1" t="s">
        <v>2018</v>
      </c>
      <c r="C1973" s="1" t="s">
        <v>1905</v>
      </c>
      <c r="D1973" s="1" t="s">
        <v>1904</v>
      </c>
      <c r="E1973" s="1" t="s">
        <v>584</v>
      </c>
      <c r="F1973" s="3">
        <v>0</v>
      </c>
      <c r="G1973" s="8" t="s">
        <v>2773</v>
      </c>
      <c r="H1973" s="8" t="s">
        <v>5161</v>
      </c>
      <c r="I1973" s="3">
        <v>25</v>
      </c>
      <c r="J1973" s="3" t="s">
        <v>5775</v>
      </c>
      <c r="K1973" s="17" t="str">
        <f>HYPERLINK("http://ictvonline.org/taxonomyHistory.asp?taxnode_id=20172102","ICTVonline=20172102")</f>
        <v>ICTVonline=20172102</v>
      </c>
      <c r="L1973" s="3">
        <v>1972</v>
      </c>
    </row>
    <row r="1974" spans="1:12" x14ac:dyDescent="0.15">
      <c r="A1974" s="1" t="s">
        <v>1081</v>
      </c>
      <c r="B1974" s="1" t="s">
        <v>2018</v>
      </c>
      <c r="C1974" s="1" t="s">
        <v>1905</v>
      </c>
      <c r="D1974" s="1" t="s">
        <v>1904</v>
      </c>
      <c r="E1974" s="1" t="s">
        <v>585</v>
      </c>
      <c r="F1974" s="3">
        <v>0</v>
      </c>
      <c r="G1974" s="8" t="s">
        <v>2773</v>
      </c>
      <c r="H1974" s="8" t="s">
        <v>5161</v>
      </c>
      <c r="I1974" s="3">
        <v>25</v>
      </c>
      <c r="J1974" s="3" t="s">
        <v>5775</v>
      </c>
      <c r="K1974" s="17" t="str">
        <f>HYPERLINK("http://ictvonline.org/taxonomyHistory.asp?taxnode_id=20172103","ICTVonline=20172103")</f>
        <v>ICTVonline=20172103</v>
      </c>
      <c r="L1974" s="3">
        <v>1973</v>
      </c>
    </row>
    <row r="1975" spans="1:12" x14ac:dyDescent="0.15">
      <c r="A1975" s="1" t="s">
        <v>1081</v>
      </c>
      <c r="B1975" s="1" t="s">
        <v>2018</v>
      </c>
      <c r="C1975" s="1" t="s">
        <v>1905</v>
      </c>
      <c r="D1975" s="1" t="s">
        <v>1904</v>
      </c>
      <c r="E1975" s="1" t="s">
        <v>2215</v>
      </c>
      <c r="F1975" s="3">
        <v>0</v>
      </c>
      <c r="G1975" s="8" t="s">
        <v>2773</v>
      </c>
      <c r="H1975" s="8" t="s">
        <v>5159</v>
      </c>
      <c r="I1975" s="3">
        <v>27</v>
      </c>
      <c r="J1975" s="3" t="s">
        <v>5781</v>
      </c>
      <c r="K1975" s="17" t="str">
        <f>HYPERLINK("http://ictvonline.org/taxonomyHistory.asp?taxnode_id=20172104","ICTVonline=20172104")</f>
        <v>ICTVonline=20172104</v>
      </c>
      <c r="L1975" s="3">
        <v>1974</v>
      </c>
    </row>
    <row r="1976" spans="1:12" x14ac:dyDescent="0.15">
      <c r="A1976" s="1" t="s">
        <v>1081</v>
      </c>
      <c r="B1976" s="1" t="s">
        <v>2018</v>
      </c>
      <c r="C1976" s="1" t="s">
        <v>1905</v>
      </c>
      <c r="D1976" s="1" t="s">
        <v>1904</v>
      </c>
      <c r="E1976" s="1" t="s">
        <v>586</v>
      </c>
      <c r="F1976" s="3">
        <v>0</v>
      </c>
      <c r="G1976" s="8" t="s">
        <v>2773</v>
      </c>
      <c r="H1976" s="8" t="s">
        <v>5161</v>
      </c>
      <c r="I1976" s="3">
        <v>25</v>
      </c>
      <c r="J1976" s="3" t="s">
        <v>5775</v>
      </c>
      <c r="K1976" s="17" t="str">
        <f>HYPERLINK("http://ictvonline.org/taxonomyHistory.asp?taxnode_id=20172105","ICTVonline=20172105")</f>
        <v>ICTVonline=20172105</v>
      </c>
      <c r="L1976" s="3">
        <v>1975</v>
      </c>
    </row>
    <row r="1977" spans="1:12" x14ac:dyDescent="0.15">
      <c r="A1977" s="1" t="s">
        <v>1081</v>
      </c>
      <c r="B1977" s="1" t="s">
        <v>2018</v>
      </c>
      <c r="C1977" s="1" t="s">
        <v>1905</v>
      </c>
      <c r="D1977" s="1" t="s">
        <v>1904</v>
      </c>
      <c r="E1977" s="1" t="s">
        <v>587</v>
      </c>
      <c r="F1977" s="3">
        <v>0</v>
      </c>
      <c r="G1977" s="8" t="s">
        <v>2773</v>
      </c>
      <c r="H1977" s="8" t="s">
        <v>5161</v>
      </c>
      <c r="I1977" s="3">
        <v>25</v>
      </c>
      <c r="J1977" s="3" t="s">
        <v>5775</v>
      </c>
      <c r="K1977" s="17" t="str">
        <f>HYPERLINK("http://ictvonline.org/taxonomyHistory.asp?taxnode_id=20172106","ICTVonline=20172106")</f>
        <v>ICTVonline=20172106</v>
      </c>
      <c r="L1977" s="3">
        <v>1976</v>
      </c>
    </row>
    <row r="1978" spans="1:12" x14ac:dyDescent="0.15">
      <c r="A1978" s="1" t="s">
        <v>1081</v>
      </c>
      <c r="B1978" s="1" t="s">
        <v>2018</v>
      </c>
      <c r="C1978" s="1" t="s">
        <v>1905</v>
      </c>
      <c r="D1978" s="1" t="s">
        <v>1904</v>
      </c>
      <c r="E1978" s="1" t="s">
        <v>588</v>
      </c>
      <c r="F1978" s="3">
        <v>0</v>
      </c>
      <c r="G1978" s="8" t="s">
        <v>2773</v>
      </c>
      <c r="H1978" s="8" t="s">
        <v>5161</v>
      </c>
      <c r="I1978" s="3">
        <v>25</v>
      </c>
      <c r="J1978" s="3" t="s">
        <v>5775</v>
      </c>
      <c r="K1978" s="17" t="str">
        <f>HYPERLINK("http://ictvonline.org/taxonomyHistory.asp?taxnode_id=20172107","ICTVonline=20172107")</f>
        <v>ICTVonline=20172107</v>
      </c>
      <c r="L1978" s="3">
        <v>1977</v>
      </c>
    </row>
    <row r="1979" spans="1:12" x14ac:dyDescent="0.15">
      <c r="A1979" s="1" t="s">
        <v>1081</v>
      </c>
      <c r="B1979" s="1" t="s">
        <v>2018</v>
      </c>
      <c r="C1979" s="1" t="s">
        <v>1905</v>
      </c>
      <c r="D1979" s="1" t="s">
        <v>1904</v>
      </c>
      <c r="E1979" s="1" t="s">
        <v>1744</v>
      </c>
      <c r="F1979" s="3">
        <v>0</v>
      </c>
      <c r="G1979" s="8" t="s">
        <v>2773</v>
      </c>
      <c r="H1979" s="8" t="s">
        <v>5161</v>
      </c>
      <c r="I1979" s="3">
        <v>25</v>
      </c>
      <c r="J1979" s="3" t="s">
        <v>5775</v>
      </c>
      <c r="K1979" s="17" t="str">
        <f>HYPERLINK("http://ictvonline.org/taxonomyHistory.asp?taxnode_id=20172108","ICTVonline=20172108")</f>
        <v>ICTVonline=20172108</v>
      </c>
      <c r="L1979" s="3">
        <v>1978</v>
      </c>
    </row>
    <row r="1980" spans="1:12" x14ac:dyDescent="0.15">
      <c r="A1980" s="1" t="s">
        <v>1081</v>
      </c>
      <c r="B1980" s="1" t="s">
        <v>2018</v>
      </c>
      <c r="C1980" s="1" t="s">
        <v>1905</v>
      </c>
      <c r="D1980" s="1" t="s">
        <v>1904</v>
      </c>
      <c r="E1980" s="1" t="s">
        <v>1745</v>
      </c>
      <c r="F1980" s="3">
        <v>0</v>
      </c>
      <c r="G1980" s="8" t="s">
        <v>2773</v>
      </c>
      <c r="H1980" s="8" t="s">
        <v>5161</v>
      </c>
      <c r="I1980" s="3">
        <v>25</v>
      </c>
      <c r="J1980" s="3" t="s">
        <v>5775</v>
      </c>
      <c r="K1980" s="17" t="str">
        <f>HYPERLINK("http://ictvonline.org/taxonomyHistory.asp?taxnode_id=20172109","ICTVonline=20172109")</f>
        <v>ICTVonline=20172109</v>
      </c>
      <c r="L1980" s="3">
        <v>1979</v>
      </c>
    </row>
    <row r="1981" spans="1:12" x14ac:dyDescent="0.15">
      <c r="A1981" s="1" t="s">
        <v>1081</v>
      </c>
      <c r="B1981" s="1" t="s">
        <v>2018</v>
      </c>
      <c r="C1981" s="1" t="s">
        <v>1905</v>
      </c>
      <c r="D1981" s="1" t="s">
        <v>1904</v>
      </c>
      <c r="E1981" s="1" t="s">
        <v>1746</v>
      </c>
      <c r="F1981" s="3">
        <v>0</v>
      </c>
      <c r="G1981" s="8" t="s">
        <v>2773</v>
      </c>
      <c r="H1981" s="8" t="s">
        <v>5161</v>
      </c>
      <c r="I1981" s="3">
        <v>25</v>
      </c>
      <c r="J1981" s="3" t="s">
        <v>5775</v>
      </c>
      <c r="K1981" s="17" t="str">
        <f>HYPERLINK("http://ictvonline.org/taxonomyHistory.asp?taxnode_id=20172110","ICTVonline=20172110")</f>
        <v>ICTVonline=20172110</v>
      </c>
      <c r="L1981" s="3">
        <v>1980</v>
      </c>
    </row>
    <row r="1982" spans="1:12" x14ac:dyDescent="0.15">
      <c r="A1982" s="1" t="s">
        <v>1081</v>
      </c>
      <c r="B1982" s="1" t="s">
        <v>2018</v>
      </c>
      <c r="C1982" s="1" t="s">
        <v>1905</v>
      </c>
      <c r="D1982" s="1" t="s">
        <v>1904</v>
      </c>
      <c r="E1982" s="1" t="s">
        <v>1747</v>
      </c>
      <c r="F1982" s="3">
        <v>0</v>
      </c>
      <c r="G1982" s="8" t="s">
        <v>2773</v>
      </c>
      <c r="H1982" s="8" t="s">
        <v>5161</v>
      </c>
      <c r="I1982" s="3">
        <v>25</v>
      </c>
      <c r="J1982" s="3" t="s">
        <v>5775</v>
      </c>
      <c r="K1982" s="17" t="str">
        <f>HYPERLINK("http://ictvonline.org/taxonomyHistory.asp?taxnode_id=20172111","ICTVonline=20172111")</f>
        <v>ICTVonline=20172111</v>
      </c>
      <c r="L1982" s="3">
        <v>1981</v>
      </c>
    </row>
    <row r="1983" spans="1:12" x14ac:dyDescent="0.15">
      <c r="A1983" s="1" t="s">
        <v>1081</v>
      </c>
      <c r="B1983" s="1" t="s">
        <v>2018</v>
      </c>
      <c r="C1983" s="1" t="s">
        <v>1905</v>
      </c>
      <c r="D1983" s="1" t="s">
        <v>1904</v>
      </c>
      <c r="E1983" s="1" t="s">
        <v>1748</v>
      </c>
      <c r="F1983" s="3">
        <v>0</v>
      </c>
      <c r="G1983" s="8" t="s">
        <v>2773</v>
      </c>
      <c r="H1983" s="8" t="s">
        <v>5161</v>
      </c>
      <c r="I1983" s="3">
        <v>25</v>
      </c>
      <c r="J1983" s="3" t="s">
        <v>5775</v>
      </c>
      <c r="K1983" s="17" t="str">
        <f>HYPERLINK("http://ictvonline.org/taxonomyHistory.asp?taxnode_id=20172112","ICTVonline=20172112")</f>
        <v>ICTVonline=20172112</v>
      </c>
      <c r="L1983" s="3">
        <v>1982</v>
      </c>
    </row>
    <row r="1984" spans="1:12" x14ac:dyDescent="0.15">
      <c r="A1984" s="1" t="s">
        <v>1081</v>
      </c>
      <c r="B1984" s="1" t="s">
        <v>2018</v>
      </c>
      <c r="C1984" s="1" t="s">
        <v>1905</v>
      </c>
      <c r="D1984" s="1" t="s">
        <v>1904</v>
      </c>
      <c r="E1984" s="1" t="s">
        <v>1749</v>
      </c>
      <c r="F1984" s="3">
        <v>0</v>
      </c>
      <c r="G1984" s="8" t="s">
        <v>2773</v>
      </c>
      <c r="H1984" s="8" t="s">
        <v>5161</v>
      </c>
      <c r="I1984" s="3">
        <v>25</v>
      </c>
      <c r="J1984" s="3" t="s">
        <v>5775</v>
      </c>
      <c r="K1984" s="17" t="str">
        <f>HYPERLINK("http://ictvonline.org/taxonomyHistory.asp?taxnode_id=20172113","ICTVonline=20172113")</f>
        <v>ICTVonline=20172113</v>
      </c>
      <c r="L1984" s="3">
        <v>1983</v>
      </c>
    </row>
    <row r="1985" spans="1:12" x14ac:dyDescent="0.15">
      <c r="A1985" s="1" t="s">
        <v>1081</v>
      </c>
      <c r="B1985" s="1" t="s">
        <v>2018</v>
      </c>
      <c r="C1985" s="1" t="s">
        <v>1905</v>
      </c>
      <c r="D1985" s="1" t="s">
        <v>1904</v>
      </c>
      <c r="E1985" s="1" t="s">
        <v>1750</v>
      </c>
      <c r="F1985" s="3">
        <v>0</v>
      </c>
      <c r="G1985" s="8" t="s">
        <v>2773</v>
      </c>
      <c r="H1985" s="8" t="s">
        <v>5161</v>
      </c>
      <c r="I1985" s="3">
        <v>25</v>
      </c>
      <c r="J1985" s="3" t="s">
        <v>5775</v>
      </c>
      <c r="K1985" s="17" t="str">
        <f>HYPERLINK("http://ictvonline.org/taxonomyHistory.asp?taxnode_id=20172114","ICTVonline=20172114")</f>
        <v>ICTVonline=20172114</v>
      </c>
      <c r="L1985" s="3">
        <v>1984</v>
      </c>
    </row>
    <row r="1986" spans="1:12" x14ac:dyDescent="0.15">
      <c r="A1986" s="1" t="s">
        <v>1081</v>
      </c>
      <c r="B1986" s="1" t="s">
        <v>2018</v>
      </c>
      <c r="C1986" s="1" t="s">
        <v>1905</v>
      </c>
      <c r="D1986" s="1" t="s">
        <v>1904</v>
      </c>
      <c r="E1986" s="1" t="s">
        <v>1751</v>
      </c>
      <c r="F1986" s="3">
        <v>0</v>
      </c>
      <c r="G1986" s="8" t="s">
        <v>2773</v>
      </c>
      <c r="H1986" s="8" t="s">
        <v>5161</v>
      </c>
      <c r="I1986" s="3">
        <v>25</v>
      </c>
      <c r="J1986" s="3" t="s">
        <v>5775</v>
      </c>
      <c r="K1986" s="17" t="str">
        <f>HYPERLINK("http://ictvonline.org/taxonomyHistory.asp?taxnode_id=20172115","ICTVonline=20172115")</f>
        <v>ICTVonline=20172115</v>
      </c>
      <c r="L1986" s="3">
        <v>1985</v>
      </c>
    </row>
    <row r="1987" spans="1:12" x14ac:dyDescent="0.15">
      <c r="A1987" s="1" t="s">
        <v>1081</v>
      </c>
      <c r="B1987" s="1" t="s">
        <v>2018</v>
      </c>
      <c r="C1987" s="1" t="s">
        <v>1905</v>
      </c>
      <c r="D1987" s="1" t="s">
        <v>1904</v>
      </c>
      <c r="E1987" s="1" t="s">
        <v>1752</v>
      </c>
      <c r="F1987" s="3">
        <v>0</v>
      </c>
      <c r="G1987" s="8" t="s">
        <v>2773</v>
      </c>
      <c r="H1987" s="8" t="s">
        <v>5161</v>
      </c>
      <c r="I1987" s="3">
        <v>25</v>
      </c>
      <c r="J1987" s="3" t="s">
        <v>5775</v>
      </c>
      <c r="K1987" s="17" t="str">
        <f>HYPERLINK("http://ictvonline.org/taxonomyHistory.asp?taxnode_id=20172116","ICTVonline=20172116")</f>
        <v>ICTVonline=20172116</v>
      </c>
      <c r="L1987" s="3">
        <v>1986</v>
      </c>
    </row>
    <row r="1988" spans="1:12" x14ac:dyDescent="0.15">
      <c r="A1988" s="1" t="s">
        <v>1081</v>
      </c>
      <c r="B1988" s="1" t="s">
        <v>2018</v>
      </c>
      <c r="C1988" s="1" t="s">
        <v>1905</v>
      </c>
      <c r="D1988" s="1" t="s">
        <v>1904</v>
      </c>
      <c r="E1988" s="1" t="s">
        <v>1753</v>
      </c>
      <c r="F1988" s="3">
        <v>0</v>
      </c>
      <c r="G1988" s="8" t="s">
        <v>2773</v>
      </c>
      <c r="H1988" s="8" t="s">
        <v>5161</v>
      </c>
      <c r="I1988" s="3">
        <v>25</v>
      </c>
      <c r="J1988" s="3" t="s">
        <v>5775</v>
      </c>
      <c r="K1988" s="17" t="str">
        <f>HYPERLINK("http://ictvonline.org/taxonomyHistory.asp?taxnode_id=20172117","ICTVonline=20172117")</f>
        <v>ICTVonline=20172117</v>
      </c>
      <c r="L1988" s="3">
        <v>1987</v>
      </c>
    </row>
    <row r="1989" spans="1:12" x14ac:dyDescent="0.15">
      <c r="A1989" s="1" t="s">
        <v>1081</v>
      </c>
      <c r="B1989" s="1" t="s">
        <v>2018</v>
      </c>
      <c r="C1989" s="1" t="s">
        <v>1905</v>
      </c>
      <c r="D1989" s="1" t="s">
        <v>1904</v>
      </c>
      <c r="E1989" s="1" t="s">
        <v>1754</v>
      </c>
      <c r="F1989" s="3">
        <v>0</v>
      </c>
      <c r="G1989" s="8" t="s">
        <v>2773</v>
      </c>
      <c r="H1989" s="8" t="s">
        <v>5161</v>
      </c>
      <c r="I1989" s="3">
        <v>25</v>
      </c>
      <c r="J1989" s="3" t="s">
        <v>5775</v>
      </c>
      <c r="K1989" s="17" t="str">
        <f>HYPERLINK("http://ictvonline.org/taxonomyHistory.asp?taxnode_id=20172118","ICTVonline=20172118")</f>
        <v>ICTVonline=20172118</v>
      </c>
      <c r="L1989" s="3">
        <v>1988</v>
      </c>
    </row>
    <row r="1990" spans="1:12" x14ac:dyDescent="0.15">
      <c r="A1990" s="1" t="s">
        <v>1081</v>
      </c>
      <c r="B1990" s="1" t="s">
        <v>2018</v>
      </c>
      <c r="C1990" s="1" t="s">
        <v>1905</v>
      </c>
      <c r="D1990" s="1" t="s">
        <v>1904</v>
      </c>
      <c r="E1990" s="1" t="s">
        <v>1755</v>
      </c>
      <c r="F1990" s="3">
        <v>0</v>
      </c>
      <c r="G1990" s="8" t="s">
        <v>2773</v>
      </c>
      <c r="H1990" s="8" t="s">
        <v>5161</v>
      </c>
      <c r="I1990" s="3">
        <v>25</v>
      </c>
      <c r="J1990" s="3" t="s">
        <v>5775</v>
      </c>
      <c r="K1990" s="17" t="str">
        <f>HYPERLINK("http://ictvonline.org/taxonomyHistory.asp?taxnode_id=20172119","ICTVonline=20172119")</f>
        <v>ICTVonline=20172119</v>
      </c>
      <c r="L1990" s="3">
        <v>1989</v>
      </c>
    </row>
    <row r="1991" spans="1:12" x14ac:dyDescent="0.15">
      <c r="A1991" s="1" t="s">
        <v>1081</v>
      </c>
      <c r="B1991" s="1" t="s">
        <v>2018</v>
      </c>
      <c r="C1991" s="1" t="s">
        <v>1905</v>
      </c>
      <c r="D1991" s="1" t="s">
        <v>1904</v>
      </c>
      <c r="E1991" s="1" t="s">
        <v>1756</v>
      </c>
      <c r="F1991" s="3">
        <v>0</v>
      </c>
      <c r="G1991" s="8" t="s">
        <v>2773</v>
      </c>
      <c r="H1991" s="8" t="s">
        <v>5161</v>
      </c>
      <c r="I1991" s="3">
        <v>25</v>
      </c>
      <c r="J1991" s="3" t="s">
        <v>5775</v>
      </c>
      <c r="K1991" s="17" t="str">
        <f>HYPERLINK("http://ictvonline.org/taxonomyHistory.asp?taxnode_id=20172120","ICTVonline=20172120")</f>
        <v>ICTVonline=20172120</v>
      </c>
      <c r="L1991" s="3">
        <v>1990</v>
      </c>
    </row>
    <row r="1992" spans="1:12" x14ac:dyDescent="0.15">
      <c r="A1992" s="1" t="s">
        <v>1081</v>
      </c>
      <c r="B1992" s="1" t="s">
        <v>2018</v>
      </c>
      <c r="C1992" s="1" t="s">
        <v>1905</v>
      </c>
      <c r="D1992" s="1" t="s">
        <v>1904</v>
      </c>
      <c r="E1992" s="1" t="s">
        <v>6</v>
      </c>
      <c r="F1992" s="3">
        <v>0</v>
      </c>
      <c r="G1992" s="8" t="s">
        <v>2773</v>
      </c>
      <c r="H1992" s="8" t="s">
        <v>5159</v>
      </c>
      <c r="I1992" s="3">
        <v>26</v>
      </c>
      <c r="J1992" s="3" t="s">
        <v>5782</v>
      </c>
      <c r="K1992" s="17" t="str">
        <f>HYPERLINK("http://ictvonline.org/taxonomyHistory.asp?taxnode_id=20172121","ICTVonline=20172121")</f>
        <v>ICTVonline=20172121</v>
      </c>
      <c r="L1992" s="3">
        <v>1991</v>
      </c>
    </row>
    <row r="1993" spans="1:12" x14ac:dyDescent="0.15">
      <c r="A1993" s="1" t="s">
        <v>1081</v>
      </c>
      <c r="B1993" s="1" t="s">
        <v>2018</v>
      </c>
      <c r="C1993" s="1" t="s">
        <v>1905</v>
      </c>
      <c r="D1993" s="1" t="s">
        <v>1904</v>
      </c>
      <c r="E1993" s="1" t="s">
        <v>3787</v>
      </c>
      <c r="F1993" s="3">
        <v>0</v>
      </c>
      <c r="G1993" s="8" t="s">
        <v>2773</v>
      </c>
      <c r="H1993" s="8" t="s">
        <v>5159</v>
      </c>
      <c r="I1993" s="3">
        <v>30</v>
      </c>
      <c r="J1993" s="3" t="s">
        <v>5780</v>
      </c>
      <c r="K1993" s="17" t="str">
        <f>HYPERLINK("http://ictvonline.org/taxonomyHistory.asp?taxnode_id=20172122","ICTVonline=20172122")</f>
        <v>ICTVonline=20172122</v>
      </c>
      <c r="L1993" s="3">
        <v>1992</v>
      </c>
    </row>
    <row r="1994" spans="1:12" x14ac:dyDescent="0.15">
      <c r="A1994" s="1" t="s">
        <v>1081</v>
      </c>
      <c r="B1994" s="1" t="s">
        <v>2018</v>
      </c>
      <c r="C1994" s="1" t="s">
        <v>1905</v>
      </c>
      <c r="D1994" s="1" t="s">
        <v>1904</v>
      </c>
      <c r="E1994" s="1" t="s">
        <v>1757</v>
      </c>
      <c r="F1994" s="3">
        <v>0</v>
      </c>
      <c r="G1994" s="8" t="s">
        <v>2773</v>
      </c>
      <c r="H1994" s="8" t="s">
        <v>5161</v>
      </c>
      <c r="I1994" s="3">
        <v>25</v>
      </c>
      <c r="J1994" s="3" t="s">
        <v>5775</v>
      </c>
      <c r="K1994" s="17" t="str">
        <f>HYPERLINK("http://ictvonline.org/taxonomyHistory.asp?taxnode_id=20172123","ICTVonline=20172123")</f>
        <v>ICTVonline=20172123</v>
      </c>
      <c r="L1994" s="3">
        <v>1993</v>
      </c>
    </row>
    <row r="1995" spans="1:12" x14ac:dyDescent="0.15">
      <c r="A1995" s="1" t="s">
        <v>1081</v>
      </c>
      <c r="B1995" s="1" t="s">
        <v>2018</v>
      </c>
      <c r="C1995" s="1" t="s">
        <v>1905</v>
      </c>
      <c r="D1995" s="1" t="s">
        <v>1904</v>
      </c>
      <c r="E1995" s="1" t="s">
        <v>1758</v>
      </c>
      <c r="F1995" s="3">
        <v>0</v>
      </c>
      <c r="G1995" s="8" t="s">
        <v>2773</v>
      </c>
      <c r="H1995" s="8" t="s">
        <v>5161</v>
      </c>
      <c r="I1995" s="3">
        <v>25</v>
      </c>
      <c r="J1995" s="3" t="s">
        <v>5775</v>
      </c>
      <c r="K1995" s="17" t="str">
        <f>HYPERLINK("http://ictvonline.org/taxonomyHistory.asp?taxnode_id=20172124","ICTVonline=20172124")</f>
        <v>ICTVonline=20172124</v>
      </c>
      <c r="L1995" s="3">
        <v>1994</v>
      </c>
    </row>
    <row r="1996" spans="1:12" x14ac:dyDescent="0.15">
      <c r="A1996" s="1" t="s">
        <v>1081</v>
      </c>
      <c r="B1996" s="1" t="s">
        <v>2018</v>
      </c>
      <c r="C1996" s="1" t="s">
        <v>1905</v>
      </c>
      <c r="D1996" s="1" t="s">
        <v>1904</v>
      </c>
      <c r="E1996" s="1" t="s">
        <v>1427</v>
      </c>
      <c r="F1996" s="3">
        <v>0</v>
      </c>
      <c r="G1996" s="8" t="s">
        <v>2773</v>
      </c>
      <c r="H1996" s="8" t="s">
        <v>5161</v>
      </c>
      <c r="I1996" s="3">
        <v>25</v>
      </c>
      <c r="J1996" s="3" t="s">
        <v>5775</v>
      </c>
      <c r="K1996" s="17" t="str">
        <f>HYPERLINK("http://ictvonline.org/taxonomyHistory.asp?taxnode_id=20172125","ICTVonline=20172125")</f>
        <v>ICTVonline=20172125</v>
      </c>
      <c r="L1996" s="3">
        <v>1995</v>
      </c>
    </row>
    <row r="1997" spans="1:12" x14ac:dyDescent="0.15">
      <c r="A1997" s="1" t="s">
        <v>1081</v>
      </c>
      <c r="B1997" s="1" t="s">
        <v>2018</v>
      </c>
      <c r="C1997" s="1" t="s">
        <v>1905</v>
      </c>
      <c r="D1997" s="1" t="s">
        <v>1904</v>
      </c>
      <c r="E1997" s="1" t="s">
        <v>1428</v>
      </c>
      <c r="F1997" s="3">
        <v>0</v>
      </c>
      <c r="G1997" s="8" t="s">
        <v>2773</v>
      </c>
      <c r="H1997" s="8" t="s">
        <v>5161</v>
      </c>
      <c r="I1997" s="3">
        <v>25</v>
      </c>
      <c r="J1997" s="3" t="s">
        <v>5775</v>
      </c>
      <c r="K1997" s="17" t="str">
        <f>HYPERLINK("http://ictvonline.org/taxonomyHistory.asp?taxnode_id=20172126","ICTVonline=20172126")</f>
        <v>ICTVonline=20172126</v>
      </c>
      <c r="L1997" s="3">
        <v>1996</v>
      </c>
    </row>
    <row r="1998" spans="1:12" x14ac:dyDescent="0.15">
      <c r="A1998" s="1" t="s">
        <v>1081</v>
      </c>
      <c r="B1998" s="1" t="s">
        <v>2018</v>
      </c>
      <c r="C1998" s="1" t="s">
        <v>1905</v>
      </c>
      <c r="D1998" s="1" t="s">
        <v>1904</v>
      </c>
      <c r="E1998" s="1" t="s">
        <v>1429</v>
      </c>
      <c r="F1998" s="3">
        <v>0</v>
      </c>
      <c r="G1998" s="8" t="s">
        <v>2773</v>
      </c>
      <c r="H1998" s="8" t="s">
        <v>5161</v>
      </c>
      <c r="I1998" s="3">
        <v>25</v>
      </c>
      <c r="J1998" s="3" t="s">
        <v>5775</v>
      </c>
      <c r="K1998" s="17" t="str">
        <f>HYPERLINK("http://ictvonline.org/taxonomyHistory.asp?taxnode_id=20172127","ICTVonline=20172127")</f>
        <v>ICTVonline=20172127</v>
      </c>
      <c r="L1998" s="3">
        <v>1997</v>
      </c>
    </row>
    <row r="1999" spans="1:12" x14ac:dyDescent="0.15">
      <c r="A1999" s="1" t="s">
        <v>1081</v>
      </c>
      <c r="B1999" s="1" t="s">
        <v>2018</v>
      </c>
      <c r="C1999" s="1" t="s">
        <v>1905</v>
      </c>
      <c r="D1999" s="1" t="s">
        <v>1904</v>
      </c>
      <c r="E1999" s="1" t="s">
        <v>5783</v>
      </c>
      <c r="F1999" s="3">
        <v>0</v>
      </c>
      <c r="G1999" s="8" t="s">
        <v>2773</v>
      </c>
      <c r="H1999" s="8" t="s">
        <v>5159</v>
      </c>
      <c r="I1999" s="3">
        <v>32</v>
      </c>
      <c r="J1999" s="3" t="s">
        <v>5778</v>
      </c>
      <c r="K1999" s="17" t="str">
        <f>HYPERLINK("http://ictvonline.org/taxonomyHistory.asp?taxnode_id=20175628","ICTVonline=20175628")</f>
        <v>ICTVonline=20175628</v>
      </c>
      <c r="L1999" s="3">
        <v>1998</v>
      </c>
    </row>
    <row r="2000" spans="1:12" x14ac:dyDescent="0.15">
      <c r="A2000" s="1" t="s">
        <v>1081</v>
      </c>
      <c r="B2000" s="1" t="s">
        <v>2018</v>
      </c>
      <c r="C2000" s="1" t="s">
        <v>1905</v>
      </c>
      <c r="D2000" s="1" t="s">
        <v>1904</v>
      </c>
      <c r="E2000" s="1" t="s">
        <v>1430</v>
      </c>
      <c r="F2000" s="3">
        <v>0</v>
      </c>
      <c r="G2000" s="8" t="s">
        <v>2773</v>
      </c>
      <c r="H2000" s="8" t="s">
        <v>5161</v>
      </c>
      <c r="I2000" s="3">
        <v>25</v>
      </c>
      <c r="J2000" s="3" t="s">
        <v>5775</v>
      </c>
      <c r="K2000" s="17" t="str">
        <f>HYPERLINK("http://ictvonline.org/taxonomyHistory.asp?taxnode_id=20172128","ICTVonline=20172128")</f>
        <v>ICTVonline=20172128</v>
      </c>
      <c r="L2000" s="3">
        <v>1999</v>
      </c>
    </row>
    <row r="2001" spans="1:12" x14ac:dyDescent="0.15">
      <c r="A2001" s="1" t="s">
        <v>1081</v>
      </c>
      <c r="B2001" s="1" t="s">
        <v>2018</v>
      </c>
      <c r="C2001" s="1" t="s">
        <v>1905</v>
      </c>
      <c r="D2001" s="1" t="s">
        <v>1904</v>
      </c>
      <c r="E2001" s="1" t="s">
        <v>1431</v>
      </c>
      <c r="F2001" s="3">
        <v>0</v>
      </c>
      <c r="G2001" s="8" t="s">
        <v>2773</v>
      </c>
      <c r="H2001" s="8" t="s">
        <v>5161</v>
      </c>
      <c r="I2001" s="3">
        <v>25</v>
      </c>
      <c r="J2001" s="3" t="s">
        <v>5775</v>
      </c>
      <c r="K2001" s="17" t="str">
        <f>HYPERLINK("http://ictvonline.org/taxonomyHistory.asp?taxnode_id=20172129","ICTVonline=20172129")</f>
        <v>ICTVonline=20172129</v>
      </c>
      <c r="L2001" s="3">
        <v>2000</v>
      </c>
    </row>
    <row r="2002" spans="1:12" x14ac:dyDescent="0.15">
      <c r="A2002" s="1" t="s">
        <v>1081</v>
      </c>
      <c r="B2002" s="1" t="s">
        <v>2018</v>
      </c>
      <c r="C2002" s="1" t="s">
        <v>1905</v>
      </c>
      <c r="D2002" s="1" t="s">
        <v>1904</v>
      </c>
      <c r="E2002" s="1" t="s">
        <v>5784</v>
      </c>
      <c r="F2002" s="3">
        <v>0</v>
      </c>
      <c r="G2002" s="8" t="s">
        <v>2773</v>
      </c>
      <c r="H2002" s="8" t="s">
        <v>5159</v>
      </c>
      <c r="I2002" s="3">
        <v>32</v>
      </c>
      <c r="J2002" s="3" t="s">
        <v>5778</v>
      </c>
      <c r="K2002" s="17" t="str">
        <f>HYPERLINK("http://ictvonline.org/taxonomyHistory.asp?taxnode_id=20175629","ICTVonline=20175629")</f>
        <v>ICTVonline=20175629</v>
      </c>
      <c r="L2002" s="3">
        <v>2001</v>
      </c>
    </row>
    <row r="2003" spans="1:12" x14ac:dyDescent="0.15">
      <c r="A2003" s="1" t="s">
        <v>1081</v>
      </c>
      <c r="B2003" s="1" t="s">
        <v>2018</v>
      </c>
      <c r="C2003" s="1" t="s">
        <v>1905</v>
      </c>
      <c r="D2003" s="1" t="s">
        <v>1904</v>
      </c>
      <c r="E2003" s="1" t="s">
        <v>1435</v>
      </c>
      <c r="F2003" s="3">
        <v>1</v>
      </c>
      <c r="G2003" s="8" t="s">
        <v>2773</v>
      </c>
      <c r="H2003" s="8" t="s">
        <v>5161</v>
      </c>
      <c r="I2003" s="3">
        <v>25</v>
      </c>
      <c r="J2003" s="3" t="s">
        <v>5775</v>
      </c>
      <c r="K2003" s="17" t="str">
        <f>HYPERLINK("http://ictvonline.org/taxonomyHistory.asp?taxnode_id=20172130","ICTVonline=20172130")</f>
        <v>ICTVonline=20172130</v>
      </c>
      <c r="L2003" s="3">
        <v>2002</v>
      </c>
    </row>
    <row r="2004" spans="1:12" x14ac:dyDescent="0.15">
      <c r="A2004" s="1" t="s">
        <v>1081</v>
      </c>
      <c r="B2004" s="1" t="s">
        <v>2018</v>
      </c>
      <c r="C2004" s="1" t="s">
        <v>1905</v>
      </c>
      <c r="D2004" s="1" t="s">
        <v>1904</v>
      </c>
      <c r="E2004" s="1" t="s">
        <v>1436</v>
      </c>
      <c r="F2004" s="3">
        <v>0</v>
      </c>
      <c r="G2004" s="8" t="s">
        <v>2773</v>
      </c>
      <c r="H2004" s="8" t="s">
        <v>5161</v>
      </c>
      <c r="I2004" s="3">
        <v>25</v>
      </c>
      <c r="J2004" s="3" t="s">
        <v>5775</v>
      </c>
      <c r="K2004" s="17" t="str">
        <f>HYPERLINK("http://ictvonline.org/taxonomyHistory.asp?taxnode_id=20172131","ICTVonline=20172131")</f>
        <v>ICTVonline=20172131</v>
      </c>
      <c r="L2004" s="3">
        <v>2003</v>
      </c>
    </row>
    <row r="2005" spans="1:12" x14ac:dyDescent="0.15">
      <c r="A2005" s="1" t="s">
        <v>1081</v>
      </c>
      <c r="B2005" s="1" t="s">
        <v>2018</v>
      </c>
      <c r="C2005" s="1" t="s">
        <v>1905</v>
      </c>
      <c r="D2005" s="1" t="s">
        <v>1904</v>
      </c>
      <c r="E2005" s="1" t="s">
        <v>1437</v>
      </c>
      <c r="F2005" s="3">
        <v>0</v>
      </c>
      <c r="G2005" s="8" t="s">
        <v>2773</v>
      </c>
      <c r="H2005" s="8" t="s">
        <v>5161</v>
      </c>
      <c r="I2005" s="3">
        <v>25</v>
      </c>
      <c r="J2005" s="3" t="s">
        <v>5775</v>
      </c>
      <c r="K2005" s="17" t="str">
        <f>HYPERLINK("http://ictvonline.org/taxonomyHistory.asp?taxnode_id=20172132","ICTVonline=20172132")</f>
        <v>ICTVonline=20172132</v>
      </c>
      <c r="L2005" s="3">
        <v>2004</v>
      </c>
    </row>
    <row r="2006" spans="1:12" x14ac:dyDescent="0.15">
      <c r="A2006" s="1" t="s">
        <v>1081</v>
      </c>
      <c r="B2006" s="1" t="s">
        <v>2018</v>
      </c>
      <c r="D2006" s="1" t="s">
        <v>639</v>
      </c>
      <c r="E2006" s="1" t="s">
        <v>640</v>
      </c>
      <c r="F2006" s="3">
        <v>0</v>
      </c>
      <c r="G2006" s="8" t="s">
        <v>2773</v>
      </c>
      <c r="H2006" s="8" t="s">
        <v>5161</v>
      </c>
      <c r="I2006" s="3">
        <v>25</v>
      </c>
      <c r="J2006" s="3" t="s">
        <v>5785</v>
      </c>
      <c r="K2006" s="17" t="str">
        <f>HYPERLINK("http://ictvonline.org/taxonomyHistory.asp?taxnode_id=20172135","ICTVonline=20172135")</f>
        <v>ICTVonline=20172135</v>
      </c>
      <c r="L2006" s="3">
        <v>2005</v>
      </c>
    </row>
    <row r="2007" spans="1:12" x14ac:dyDescent="0.15">
      <c r="A2007" s="1" t="s">
        <v>1081</v>
      </c>
      <c r="B2007" s="1" t="s">
        <v>2018</v>
      </c>
      <c r="D2007" s="1" t="s">
        <v>639</v>
      </c>
      <c r="E2007" s="1" t="s">
        <v>2341</v>
      </c>
      <c r="F2007" s="3">
        <v>0</v>
      </c>
      <c r="G2007" s="8" t="s">
        <v>2773</v>
      </c>
      <c r="H2007" s="8" t="s">
        <v>5159</v>
      </c>
      <c r="I2007" s="3">
        <v>28</v>
      </c>
      <c r="J2007" s="3" t="s">
        <v>5786</v>
      </c>
      <c r="K2007" s="17" t="str">
        <f>HYPERLINK("http://ictvonline.org/taxonomyHistory.asp?taxnode_id=20172136","ICTVonline=20172136")</f>
        <v>ICTVonline=20172136</v>
      </c>
      <c r="L2007" s="3">
        <v>2006</v>
      </c>
    </row>
    <row r="2008" spans="1:12" x14ac:dyDescent="0.15">
      <c r="A2008" s="1" t="s">
        <v>1081</v>
      </c>
      <c r="B2008" s="1" t="s">
        <v>2018</v>
      </c>
      <c r="D2008" s="1" t="s">
        <v>639</v>
      </c>
      <c r="E2008" s="1" t="s">
        <v>641</v>
      </c>
      <c r="F2008" s="3">
        <v>1</v>
      </c>
      <c r="G2008" s="8" t="s">
        <v>2773</v>
      </c>
      <c r="H2008" s="8" t="s">
        <v>5161</v>
      </c>
      <c r="I2008" s="3">
        <v>25</v>
      </c>
      <c r="J2008" s="3" t="s">
        <v>5785</v>
      </c>
      <c r="K2008" s="17" t="str">
        <f>HYPERLINK("http://ictvonline.org/taxonomyHistory.asp?taxnode_id=20172137","ICTVonline=20172137")</f>
        <v>ICTVonline=20172137</v>
      </c>
      <c r="L2008" s="3">
        <v>2007</v>
      </c>
    </row>
    <row r="2009" spans="1:12" x14ac:dyDescent="0.15">
      <c r="A2009" s="1" t="s">
        <v>1081</v>
      </c>
      <c r="B2009" s="1" t="s">
        <v>2018</v>
      </c>
      <c r="D2009" s="1" t="s">
        <v>639</v>
      </c>
      <c r="E2009" s="1" t="s">
        <v>4841</v>
      </c>
      <c r="F2009" s="3">
        <v>0</v>
      </c>
      <c r="G2009" s="8" t="s">
        <v>2773</v>
      </c>
      <c r="H2009" s="8" t="s">
        <v>5159</v>
      </c>
      <c r="I2009" s="3">
        <v>31</v>
      </c>
      <c r="J2009" s="3" t="s">
        <v>5787</v>
      </c>
      <c r="K2009" s="17" t="str">
        <f>HYPERLINK("http://ictvonline.org/taxonomyHistory.asp?taxnode_id=20172138","ICTVonline=20172138")</f>
        <v>ICTVonline=20172138</v>
      </c>
      <c r="L2009" s="3">
        <v>2008</v>
      </c>
    </row>
    <row r="2010" spans="1:12" x14ac:dyDescent="0.15">
      <c r="A2010" s="1" t="s">
        <v>1081</v>
      </c>
      <c r="B2010" s="1" t="s">
        <v>2018</v>
      </c>
      <c r="D2010" s="1" t="s">
        <v>639</v>
      </c>
      <c r="E2010" s="1" t="s">
        <v>642</v>
      </c>
      <c r="F2010" s="3">
        <v>0</v>
      </c>
      <c r="G2010" s="8" t="s">
        <v>2773</v>
      </c>
      <c r="H2010" s="8" t="s">
        <v>5161</v>
      </c>
      <c r="I2010" s="3">
        <v>25</v>
      </c>
      <c r="J2010" s="3" t="s">
        <v>5785</v>
      </c>
      <c r="K2010" s="17" t="str">
        <f>HYPERLINK("http://ictvonline.org/taxonomyHistory.asp?taxnode_id=20172139","ICTVonline=20172139")</f>
        <v>ICTVonline=20172139</v>
      </c>
      <c r="L2010" s="3">
        <v>2009</v>
      </c>
    </row>
    <row r="2011" spans="1:12" x14ac:dyDescent="0.15">
      <c r="A2011" s="1" t="s">
        <v>1081</v>
      </c>
      <c r="B2011" s="1" t="s">
        <v>2018</v>
      </c>
      <c r="D2011" s="1" t="s">
        <v>1794</v>
      </c>
      <c r="E2011" s="1" t="s">
        <v>1795</v>
      </c>
      <c r="F2011" s="3">
        <v>1</v>
      </c>
      <c r="G2011" s="8" t="s">
        <v>2773</v>
      </c>
      <c r="H2011" s="8" t="s">
        <v>5161</v>
      </c>
      <c r="I2011" s="3">
        <v>25</v>
      </c>
      <c r="J2011" s="3" t="s">
        <v>5785</v>
      </c>
      <c r="K2011" s="17" t="str">
        <f>HYPERLINK("http://ictvonline.org/taxonomyHistory.asp?taxnode_id=20172141","ICTVonline=20172141")</f>
        <v>ICTVonline=20172141</v>
      </c>
      <c r="L2011" s="3">
        <v>2010</v>
      </c>
    </row>
    <row r="2012" spans="1:12" x14ac:dyDescent="0.15">
      <c r="A2012" s="1" t="s">
        <v>1081</v>
      </c>
      <c r="B2012" s="1" t="s">
        <v>2018</v>
      </c>
      <c r="D2012" s="1" t="s">
        <v>635</v>
      </c>
      <c r="E2012" s="1" t="s">
        <v>2164</v>
      </c>
      <c r="F2012" s="3">
        <v>0</v>
      </c>
      <c r="G2012" s="8" t="s">
        <v>2773</v>
      </c>
      <c r="H2012" s="8" t="s">
        <v>5159</v>
      </c>
      <c r="I2012" s="3">
        <v>25</v>
      </c>
      <c r="J2012" s="3" t="s">
        <v>5788</v>
      </c>
      <c r="K2012" s="17" t="str">
        <f>HYPERLINK("http://ictvonline.org/taxonomyHistory.asp?taxnode_id=20172143","ICTVonline=20172143")</f>
        <v>ICTVonline=20172143</v>
      </c>
      <c r="L2012" s="3">
        <v>2011</v>
      </c>
    </row>
    <row r="2013" spans="1:12" x14ac:dyDescent="0.15">
      <c r="A2013" s="1" t="s">
        <v>1081</v>
      </c>
      <c r="B2013" s="1" t="s">
        <v>2018</v>
      </c>
      <c r="D2013" s="1" t="s">
        <v>635</v>
      </c>
      <c r="E2013" s="1" t="s">
        <v>636</v>
      </c>
      <c r="F2013" s="3">
        <v>0</v>
      </c>
      <c r="G2013" s="8" t="s">
        <v>2773</v>
      </c>
      <c r="H2013" s="8" t="s">
        <v>5161</v>
      </c>
      <c r="I2013" s="3">
        <v>25</v>
      </c>
      <c r="J2013" s="3" t="s">
        <v>5785</v>
      </c>
      <c r="K2013" s="17" t="str">
        <f>HYPERLINK("http://ictvonline.org/taxonomyHistory.asp?taxnode_id=20172144","ICTVonline=20172144")</f>
        <v>ICTVonline=20172144</v>
      </c>
      <c r="L2013" s="3">
        <v>2012</v>
      </c>
    </row>
    <row r="2014" spans="1:12" x14ac:dyDescent="0.15">
      <c r="A2014" s="1" t="s">
        <v>1081</v>
      </c>
      <c r="B2014" s="1" t="s">
        <v>2018</v>
      </c>
      <c r="D2014" s="1" t="s">
        <v>635</v>
      </c>
      <c r="E2014" s="1" t="s">
        <v>1525</v>
      </c>
      <c r="F2014" s="3">
        <v>1</v>
      </c>
      <c r="G2014" s="8" t="s">
        <v>2773</v>
      </c>
      <c r="H2014" s="8" t="s">
        <v>5161</v>
      </c>
      <c r="I2014" s="3">
        <v>25</v>
      </c>
      <c r="J2014" s="3" t="s">
        <v>5785</v>
      </c>
      <c r="K2014" s="17" t="str">
        <f>HYPERLINK("http://ictvonline.org/taxonomyHistory.asp?taxnode_id=20172145","ICTVonline=20172145")</f>
        <v>ICTVonline=20172145</v>
      </c>
      <c r="L2014" s="3">
        <v>2013</v>
      </c>
    </row>
    <row r="2015" spans="1:12" x14ac:dyDescent="0.15">
      <c r="A2015" s="1" t="s">
        <v>1081</v>
      </c>
      <c r="B2015" s="1" t="s">
        <v>2018</v>
      </c>
      <c r="D2015" s="1" t="s">
        <v>2015</v>
      </c>
      <c r="E2015" s="1" t="s">
        <v>3788</v>
      </c>
      <c r="F2015" s="3">
        <v>0</v>
      </c>
      <c r="G2015" s="8" t="s">
        <v>2773</v>
      </c>
      <c r="H2015" s="8" t="s">
        <v>5159</v>
      </c>
      <c r="I2015" s="3">
        <v>30</v>
      </c>
      <c r="J2015" s="3" t="s">
        <v>5789</v>
      </c>
      <c r="K2015" s="17" t="str">
        <f>HYPERLINK("http://ictvonline.org/taxonomyHistory.asp?taxnode_id=20172147","ICTVonline=20172147")</f>
        <v>ICTVonline=20172147</v>
      </c>
      <c r="L2015" s="3">
        <v>2014</v>
      </c>
    </row>
    <row r="2016" spans="1:12" x14ac:dyDescent="0.15">
      <c r="A2016" s="1" t="s">
        <v>1081</v>
      </c>
      <c r="B2016" s="1" t="s">
        <v>2018</v>
      </c>
      <c r="D2016" s="1" t="s">
        <v>2015</v>
      </c>
      <c r="E2016" s="1" t="s">
        <v>2671</v>
      </c>
      <c r="F2016" s="3">
        <v>0</v>
      </c>
      <c r="G2016" s="8" t="s">
        <v>2773</v>
      </c>
      <c r="H2016" s="8" t="s">
        <v>5159</v>
      </c>
      <c r="I2016" s="3">
        <v>29</v>
      </c>
      <c r="J2016" s="3" t="s">
        <v>5790</v>
      </c>
      <c r="K2016" s="17" t="str">
        <f>HYPERLINK("http://ictvonline.org/taxonomyHistory.asp?taxnode_id=20172148","ICTVonline=20172148")</f>
        <v>ICTVonline=20172148</v>
      </c>
      <c r="L2016" s="3">
        <v>2015</v>
      </c>
    </row>
    <row r="2017" spans="1:12" x14ac:dyDescent="0.15">
      <c r="A2017" s="1" t="s">
        <v>1081</v>
      </c>
      <c r="B2017" s="1" t="s">
        <v>2018</v>
      </c>
      <c r="D2017" s="1" t="s">
        <v>2015</v>
      </c>
      <c r="E2017" s="1" t="s">
        <v>3789</v>
      </c>
      <c r="F2017" s="3">
        <v>0</v>
      </c>
      <c r="G2017" s="8" t="s">
        <v>2773</v>
      </c>
      <c r="H2017" s="8" t="s">
        <v>5159</v>
      </c>
      <c r="I2017" s="3">
        <v>30</v>
      </c>
      <c r="J2017" s="3" t="s">
        <v>5789</v>
      </c>
      <c r="K2017" s="17" t="str">
        <f>HYPERLINK("http://ictvonline.org/taxonomyHistory.asp?taxnode_id=20172149","ICTVonline=20172149")</f>
        <v>ICTVonline=20172149</v>
      </c>
      <c r="L2017" s="3">
        <v>2016</v>
      </c>
    </row>
    <row r="2018" spans="1:12" x14ac:dyDescent="0.15">
      <c r="A2018" s="1" t="s">
        <v>1081</v>
      </c>
      <c r="B2018" s="1" t="s">
        <v>2018</v>
      </c>
      <c r="D2018" s="1" t="s">
        <v>2015</v>
      </c>
      <c r="E2018" s="1" t="s">
        <v>4842</v>
      </c>
      <c r="F2018" s="3">
        <v>0</v>
      </c>
      <c r="G2018" s="8" t="s">
        <v>2773</v>
      </c>
      <c r="H2018" s="8" t="s">
        <v>5159</v>
      </c>
      <c r="I2018" s="3">
        <v>31</v>
      </c>
      <c r="J2018" s="3" t="s">
        <v>5791</v>
      </c>
      <c r="K2018" s="17" t="str">
        <f>HYPERLINK("http://ictvonline.org/taxonomyHistory.asp?taxnode_id=20172150","ICTVonline=20172150")</f>
        <v>ICTVonline=20172150</v>
      </c>
      <c r="L2018" s="3">
        <v>2017</v>
      </c>
    </row>
    <row r="2019" spans="1:12" x14ac:dyDescent="0.15">
      <c r="A2019" s="1" t="s">
        <v>1081</v>
      </c>
      <c r="B2019" s="1" t="s">
        <v>2018</v>
      </c>
      <c r="D2019" s="1" t="s">
        <v>2015</v>
      </c>
      <c r="E2019" s="1" t="s">
        <v>2017</v>
      </c>
      <c r="F2019" s="3">
        <v>0</v>
      </c>
      <c r="G2019" s="8" t="s">
        <v>2773</v>
      </c>
      <c r="H2019" s="8" t="s">
        <v>5159</v>
      </c>
      <c r="I2019" s="3">
        <v>25</v>
      </c>
      <c r="J2019" s="3" t="s">
        <v>5792</v>
      </c>
      <c r="K2019" s="17" t="str">
        <f>HYPERLINK("http://ictvonline.org/taxonomyHistory.asp?taxnode_id=20172151","ICTVonline=20172151")</f>
        <v>ICTVonline=20172151</v>
      </c>
      <c r="L2019" s="3">
        <v>2018</v>
      </c>
    </row>
    <row r="2020" spans="1:12" x14ac:dyDescent="0.15">
      <c r="A2020" s="1" t="s">
        <v>1081</v>
      </c>
      <c r="B2020" s="1" t="s">
        <v>2018</v>
      </c>
      <c r="D2020" s="1" t="s">
        <v>2015</v>
      </c>
      <c r="E2020" s="1" t="s">
        <v>2016</v>
      </c>
      <c r="F2020" s="3">
        <v>1</v>
      </c>
      <c r="G2020" s="8" t="s">
        <v>2773</v>
      </c>
      <c r="H2020" s="8" t="s">
        <v>5164</v>
      </c>
      <c r="I2020" s="3">
        <v>25</v>
      </c>
      <c r="J2020" s="3" t="s">
        <v>5792</v>
      </c>
      <c r="K2020" s="17" t="str">
        <f>HYPERLINK("http://ictvonline.org/taxonomyHistory.asp?taxnode_id=20172152","ICTVonline=20172152")</f>
        <v>ICTVonline=20172152</v>
      </c>
      <c r="L2020" s="3">
        <v>2019</v>
      </c>
    </row>
    <row r="2021" spans="1:12" x14ac:dyDescent="0.15">
      <c r="A2021" s="1" t="s">
        <v>1081</v>
      </c>
      <c r="B2021" s="1" t="s">
        <v>2018</v>
      </c>
      <c r="D2021" s="1" t="s">
        <v>908</v>
      </c>
      <c r="E2021" s="1" t="s">
        <v>2165</v>
      </c>
      <c r="F2021" s="3">
        <v>0</v>
      </c>
      <c r="G2021" s="8" t="s">
        <v>2773</v>
      </c>
      <c r="H2021" s="8" t="s">
        <v>5159</v>
      </c>
      <c r="I2021" s="3">
        <v>25</v>
      </c>
      <c r="J2021" s="3" t="s">
        <v>5788</v>
      </c>
      <c r="K2021" s="17" t="str">
        <f>HYPERLINK("http://ictvonline.org/taxonomyHistory.asp?taxnode_id=20172154","ICTVonline=20172154")</f>
        <v>ICTVonline=20172154</v>
      </c>
      <c r="L2021" s="3">
        <v>2020</v>
      </c>
    </row>
    <row r="2022" spans="1:12" x14ac:dyDescent="0.15">
      <c r="A2022" s="1" t="s">
        <v>1081</v>
      </c>
      <c r="B2022" s="1" t="s">
        <v>2018</v>
      </c>
      <c r="D2022" s="1" t="s">
        <v>908</v>
      </c>
      <c r="E2022" s="1" t="s">
        <v>4843</v>
      </c>
      <c r="F2022" s="3">
        <v>0</v>
      </c>
      <c r="G2022" s="8" t="s">
        <v>2773</v>
      </c>
      <c r="H2022" s="8" t="s">
        <v>5159</v>
      </c>
      <c r="I2022" s="3">
        <v>31</v>
      </c>
      <c r="J2022" s="3" t="s">
        <v>5791</v>
      </c>
      <c r="K2022" s="17" t="str">
        <f>HYPERLINK("http://ictvonline.org/taxonomyHistory.asp?taxnode_id=20172155","ICTVonline=20172155")</f>
        <v>ICTVonline=20172155</v>
      </c>
      <c r="L2022" s="3">
        <v>2021</v>
      </c>
    </row>
    <row r="2023" spans="1:12" x14ac:dyDescent="0.15">
      <c r="A2023" s="1" t="s">
        <v>1081</v>
      </c>
      <c r="B2023" s="1" t="s">
        <v>2018</v>
      </c>
      <c r="D2023" s="1" t="s">
        <v>908</v>
      </c>
      <c r="E2023" s="1" t="s">
        <v>5793</v>
      </c>
      <c r="F2023" s="3">
        <v>0</v>
      </c>
      <c r="G2023" s="8" t="s">
        <v>2773</v>
      </c>
      <c r="H2023" s="8" t="s">
        <v>5159</v>
      </c>
      <c r="I2023" s="3">
        <v>32</v>
      </c>
      <c r="J2023" s="3" t="s">
        <v>5778</v>
      </c>
      <c r="K2023" s="17" t="str">
        <f>HYPERLINK("http://ictvonline.org/taxonomyHistory.asp?taxnode_id=20175630","ICTVonline=20175630")</f>
        <v>ICTVonline=20175630</v>
      </c>
      <c r="L2023" s="3">
        <v>2022</v>
      </c>
    </row>
    <row r="2024" spans="1:12" x14ac:dyDescent="0.15">
      <c r="A2024" s="1" t="s">
        <v>1081</v>
      </c>
      <c r="B2024" s="1" t="s">
        <v>2018</v>
      </c>
      <c r="D2024" s="1" t="s">
        <v>908</v>
      </c>
      <c r="E2024" s="1" t="s">
        <v>1796</v>
      </c>
      <c r="F2024" s="3">
        <v>0</v>
      </c>
      <c r="G2024" s="8" t="s">
        <v>2773</v>
      </c>
      <c r="H2024" s="8" t="s">
        <v>5161</v>
      </c>
      <c r="I2024" s="3">
        <v>25</v>
      </c>
      <c r="J2024" s="3" t="s">
        <v>5788</v>
      </c>
      <c r="K2024" s="17" t="str">
        <f>HYPERLINK("http://ictvonline.org/taxonomyHistory.asp?taxnode_id=20172156","ICTVonline=20172156")</f>
        <v>ICTVonline=20172156</v>
      </c>
      <c r="L2024" s="3">
        <v>2023</v>
      </c>
    </row>
    <row r="2025" spans="1:12" x14ac:dyDescent="0.15">
      <c r="A2025" s="1" t="s">
        <v>1081</v>
      </c>
      <c r="B2025" s="1" t="s">
        <v>2018</v>
      </c>
      <c r="D2025" s="1" t="s">
        <v>908</v>
      </c>
      <c r="E2025" s="1" t="s">
        <v>1797</v>
      </c>
      <c r="F2025" s="3">
        <v>0</v>
      </c>
      <c r="G2025" s="8" t="s">
        <v>2773</v>
      </c>
      <c r="H2025" s="8" t="s">
        <v>5161</v>
      </c>
      <c r="I2025" s="3">
        <v>25</v>
      </c>
      <c r="J2025" s="3" t="s">
        <v>5788</v>
      </c>
      <c r="K2025" s="17" t="str">
        <f>HYPERLINK("http://ictvonline.org/taxonomyHistory.asp?taxnode_id=20172157","ICTVonline=20172157")</f>
        <v>ICTVonline=20172157</v>
      </c>
      <c r="L2025" s="3">
        <v>2024</v>
      </c>
    </row>
    <row r="2026" spans="1:12" x14ac:dyDescent="0.15">
      <c r="A2026" s="1" t="s">
        <v>1081</v>
      </c>
      <c r="B2026" s="1" t="s">
        <v>2018</v>
      </c>
      <c r="D2026" s="1" t="s">
        <v>1901</v>
      </c>
      <c r="E2026" s="1" t="s">
        <v>637</v>
      </c>
      <c r="F2026" s="3">
        <v>0</v>
      </c>
      <c r="G2026" s="8" t="s">
        <v>2773</v>
      </c>
      <c r="H2026" s="8" t="s">
        <v>5161</v>
      </c>
      <c r="I2026" s="3">
        <v>25</v>
      </c>
      <c r="J2026" s="3" t="s">
        <v>5785</v>
      </c>
      <c r="K2026" s="17" t="str">
        <f>HYPERLINK("http://ictvonline.org/taxonomyHistory.asp?taxnode_id=20172159","ICTVonline=20172159")</f>
        <v>ICTVonline=20172159</v>
      </c>
      <c r="L2026" s="3">
        <v>2025</v>
      </c>
    </row>
    <row r="2027" spans="1:12" x14ac:dyDescent="0.15">
      <c r="A2027" s="1" t="s">
        <v>1081</v>
      </c>
      <c r="B2027" s="1" t="s">
        <v>2018</v>
      </c>
      <c r="D2027" s="1" t="s">
        <v>1901</v>
      </c>
      <c r="E2027" s="1" t="s">
        <v>4844</v>
      </c>
      <c r="F2027" s="3">
        <v>0</v>
      </c>
      <c r="G2027" s="8" t="s">
        <v>2773</v>
      </c>
      <c r="H2027" s="8" t="s">
        <v>5159</v>
      </c>
      <c r="I2027" s="3">
        <v>31</v>
      </c>
      <c r="J2027" s="3" t="s">
        <v>5791</v>
      </c>
      <c r="K2027" s="17" t="str">
        <f>HYPERLINK("http://ictvonline.org/taxonomyHistory.asp?taxnode_id=20172160","ICTVonline=20172160")</f>
        <v>ICTVonline=20172160</v>
      </c>
      <c r="L2027" s="3">
        <v>2026</v>
      </c>
    </row>
    <row r="2028" spans="1:12" x14ac:dyDescent="0.15">
      <c r="A2028" s="1" t="s">
        <v>1081</v>
      </c>
      <c r="B2028" s="1" t="s">
        <v>2018</v>
      </c>
      <c r="D2028" s="1" t="s">
        <v>1901</v>
      </c>
      <c r="E2028" s="1" t="s">
        <v>638</v>
      </c>
      <c r="F2028" s="3">
        <v>0</v>
      </c>
      <c r="G2028" s="8" t="s">
        <v>2773</v>
      </c>
      <c r="H2028" s="8" t="s">
        <v>5161</v>
      </c>
      <c r="I2028" s="3">
        <v>25</v>
      </c>
      <c r="J2028" s="3" t="s">
        <v>5785</v>
      </c>
      <c r="K2028" s="17" t="str">
        <f>HYPERLINK("http://ictvonline.org/taxonomyHistory.asp?taxnode_id=20172161","ICTVonline=20172161")</f>
        <v>ICTVonline=20172161</v>
      </c>
      <c r="L2028" s="3">
        <v>2027</v>
      </c>
    </row>
    <row r="2029" spans="1:12" x14ac:dyDescent="0.15">
      <c r="A2029" s="1" t="s">
        <v>1081</v>
      </c>
      <c r="B2029" s="1" t="s">
        <v>2018</v>
      </c>
      <c r="D2029" s="1" t="s">
        <v>1901</v>
      </c>
      <c r="E2029" s="1" t="s">
        <v>1526</v>
      </c>
      <c r="F2029" s="3">
        <v>1</v>
      </c>
      <c r="G2029" s="8" t="s">
        <v>2773</v>
      </c>
      <c r="H2029" s="8" t="s">
        <v>5161</v>
      </c>
      <c r="I2029" s="3">
        <v>25</v>
      </c>
      <c r="J2029" s="3" t="s">
        <v>5785</v>
      </c>
      <c r="K2029" s="17" t="str">
        <f>HYPERLINK("http://ictvonline.org/taxonomyHistory.asp?taxnode_id=20172162","ICTVonline=20172162")</f>
        <v>ICTVonline=20172162</v>
      </c>
      <c r="L2029" s="3">
        <v>2028</v>
      </c>
    </row>
    <row r="2030" spans="1:12" x14ac:dyDescent="0.15">
      <c r="A2030" s="1" t="s">
        <v>1081</v>
      </c>
      <c r="B2030" s="1" t="s">
        <v>908</v>
      </c>
      <c r="D2030" s="1" t="s">
        <v>7</v>
      </c>
      <c r="E2030" s="1" t="s">
        <v>5794</v>
      </c>
      <c r="F2030" s="3">
        <v>0</v>
      </c>
      <c r="G2030" s="8" t="s">
        <v>2773</v>
      </c>
      <c r="H2030" s="8" t="s">
        <v>5162</v>
      </c>
      <c r="I2030" s="3">
        <v>32</v>
      </c>
      <c r="J2030" s="3" t="s">
        <v>5564</v>
      </c>
      <c r="K2030" s="17" t="str">
        <f>HYPERLINK("http://ictvonline.org/taxonomyHistory.asp?taxnode_id=20172166","ICTVonline=20172166")</f>
        <v>ICTVonline=20172166</v>
      </c>
      <c r="L2030" s="3">
        <v>2029</v>
      </c>
    </row>
    <row r="2031" spans="1:12" x14ac:dyDescent="0.15">
      <c r="A2031" s="1" t="s">
        <v>1081</v>
      </c>
      <c r="B2031" s="1" t="s">
        <v>908</v>
      </c>
      <c r="D2031" s="1" t="s">
        <v>7</v>
      </c>
      <c r="E2031" s="1" t="s">
        <v>8</v>
      </c>
      <c r="F2031" s="3">
        <v>0</v>
      </c>
      <c r="G2031" s="8" t="s">
        <v>2773</v>
      </c>
      <c r="H2031" s="8" t="s">
        <v>5159</v>
      </c>
      <c r="I2031" s="3">
        <v>26</v>
      </c>
      <c r="J2031" s="3" t="s">
        <v>5795</v>
      </c>
      <c r="K2031" s="17" t="str">
        <f>HYPERLINK("http://ictvonline.org/taxonomyHistory.asp?taxnode_id=20172167","ICTVonline=20172167")</f>
        <v>ICTVonline=20172167</v>
      </c>
      <c r="L2031" s="3">
        <v>2030</v>
      </c>
    </row>
    <row r="2032" spans="1:12" x14ac:dyDescent="0.15">
      <c r="A2032" s="1" t="s">
        <v>1081</v>
      </c>
      <c r="B2032" s="1" t="s">
        <v>908</v>
      </c>
      <c r="D2032" s="1" t="s">
        <v>7</v>
      </c>
      <c r="E2032" s="1" t="s">
        <v>9</v>
      </c>
      <c r="F2032" s="3">
        <v>1</v>
      </c>
      <c r="G2032" s="8" t="s">
        <v>2773</v>
      </c>
      <c r="H2032" s="8" t="s">
        <v>5164</v>
      </c>
      <c r="I2032" s="3">
        <v>26</v>
      </c>
      <c r="J2032" s="3" t="s">
        <v>5795</v>
      </c>
      <c r="K2032" s="17" t="str">
        <f>HYPERLINK("http://ictvonline.org/taxonomyHistory.asp?taxnode_id=20172168","ICTVonline=20172168")</f>
        <v>ICTVonline=20172168</v>
      </c>
      <c r="L2032" s="3">
        <v>2031</v>
      </c>
    </row>
    <row r="2033" spans="1:12" x14ac:dyDescent="0.15">
      <c r="A2033" s="1" t="s">
        <v>1081</v>
      </c>
      <c r="B2033" s="1" t="s">
        <v>908</v>
      </c>
      <c r="D2033" s="1" t="s">
        <v>10</v>
      </c>
      <c r="E2033" s="1" t="s">
        <v>11</v>
      </c>
      <c r="F2033" s="3">
        <v>1</v>
      </c>
      <c r="G2033" s="8" t="s">
        <v>2773</v>
      </c>
      <c r="H2033" s="8" t="s">
        <v>5164</v>
      </c>
      <c r="I2033" s="3">
        <v>26</v>
      </c>
      <c r="J2033" s="3" t="s">
        <v>5796</v>
      </c>
      <c r="K2033" s="17" t="str">
        <f>HYPERLINK("http://ictvonline.org/taxonomyHistory.asp?taxnode_id=20172170","ICTVonline=20172170")</f>
        <v>ICTVonline=20172170</v>
      </c>
      <c r="L2033" s="3">
        <v>2032</v>
      </c>
    </row>
    <row r="2034" spans="1:12" x14ac:dyDescent="0.15">
      <c r="A2034" s="1" t="s">
        <v>1177</v>
      </c>
      <c r="B2034" s="1" t="s">
        <v>299</v>
      </c>
      <c r="D2034" s="1" t="s">
        <v>412</v>
      </c>
      <c r="E2034" s="1" t="s">
        <v>5797</v>
      </c>
      <c r="F2034" s="3">
        <v>0</v>
      </c>
      <c r="G2034" s="8" t="s">
        <v>2773</v>
      </c>
      <c r="H2034" s="8" t="s">
        <v>5159</v>
      </c>
      <c r="I2034" s="3">
        <v>32</v>
      </c>
      <c r="J2034" s="3" t="s">
        <v>5798</v>
      </c>
      <c r="K2034" s="17" t="str">
        <f>HYPERLINK("http://ictvonline.org/taxonomyHistory.asp?taxnode_id=20175631","ICTVonline=20175631")</f>
        <v>ICTVonline=20175631</v>
      </c>
      <c r="L2034" s="3">
        <v>2033</v>
      </c>
    </row>
    <row r="2035" spans="1:12" x14ac:dyDescent="0.15">
      <c r="A2035" s="1" t="s">
        <v>1177</v>
      </c>
      <c r="B2035" s="1" t="s">
        <v>299</v>
      </c>
      <c r="D2035" s="1" t="s">
        <v>412</v>
      </c>
      <c r="E2035" s="1" t="s">
        <v>5799</v>
      </c>
      <c r="F2035" s="3">
        <v>0</v>
      </c>
      <c r="G2035" s="8" t="s">
        <v>2773</v>
      </c>
      <c r="H2035" s="8" t="s">
        <v>5159</v>
      </c>
      <c r="I2035" s="3">
        <v>32</v>
      </c>
      <c r="J2035" s="3" t="s">
        <v>5798</v>
      </c>
      <c r="K2035" s="17" t="str">
        <f>HYPERLINK("http://ictvonline.org/taxonomyHistory.asp?taxnode_id=20175632","ICTVonline=20175632")</f>
        <v>ICTVonline=20175632</v>
      </c>
      <c r="L2035" s="3">
        <v>2034</v>
      </c>
    </row>
    <row r="2036" spans="1:12" x14ac:dyDescent="0.15">
      <c r="A2036" s="1" t="s">
        <v>1177</v>
      </c>
      <c r="B2036" s="1" t="s">
        <v>299</v>
      </c>
      <c r="D2036" s="1" t="s">
        <v>412</v>
      </c>
      <c r="E2036" s="1" t="s">
        <v>2218</v>
      </c>
      <c r="F2036" s="3">
        <v>0</v>
      </c>
      <c r="G2036" s="8" t="s">
        <v>2773</v>
      </c>
      <c r="H2036" s="8" t="s">
        <v>5161</v>
      </c>
      <c r="I2036" s="3">
        <v>32</v>
      </c>
      <c r="J2036" s="3" t="s">
        <v>5798</v>
      </c>
      <c r="K2036" s="17" t="str">
        <f>HYPERLINK("http://ictvonline.org/taxonomyHistory.asp?taxnode_id=20172231","ICTVonline=20172231")</f>
        <v>ICTVonline=20172231</v>
      </c>
      <c r="L2036" s="3">
        <v>2035</v>
      </c>
    </row>
    <row r="2037" spans="1:12" x14ac:dyDescent="0.15">
      <c r="A2037" s="1" t="s">
        <v>1177</v>
      </c>
      <c r="B2037" s="1" t="s">
        <v>299</v>
      </c>
      <c r="D2037" s="1" t="s">
        <v>412</v>
      </c>
      <c r="E2037" s="1" t="s">
        <v>413</v>
      </c>
      <c r="F2037" s="3">
        <v>0</v>
      </c>
      <c r="G2037" s="8" t="s">
        <v>2773</v>
      </c>
      <c r="H2037" s="8" t="s">
        <v>5161</v>
      </c>
      <c r="I2037" s="3">
        <v>25</v>
      </c>
      <c r="J2037" s="3" t="s">
        <v>5800</v>
      </c>
      <c r="K2037" s="17" t="str">
        <f>HYPERLINK("http://ictvonline.org/taxonomyHistory.asp?taxnode_id=20172175","ICTVonline=20172175")</f>
        <v>ICTVonline=20172175</v>
      </c>
      <c r="L2037" s="3">
        <v>2036</v>
      </c>
    </row>
    <row r="2038" spans="1:12" x14ac:dyDescent="0.15">
      <c r="A2038" s="1" t="s">
        <v>1177</v>
      </c>
      <c r="B2038" s="1" t="s">
        <v>299</v>
      </c>
      <c r="D2038" s="1" t="s">
        <v>412</v>
      </c>
      <c r="E2038" s="1" t="s">
        <v>1521</v>
      </c>
      <c r="F2038" s="3">
        <v>0</v>
      </c>
      <c r="G2038" s="8" t="s">
        <v>2773</v>
      </c>
      <c r="H2038" s="8" t="s">
        <v>5161</v>
      </c>
      <c r="I2038" s="3">
        <v>25</v>
      </c>
      <c r="J2038" s="3" t="s">
        <v>5800</v>
      </c>
      <c r="K2038" s="17" t="str">
        <f>HYPERLINK("http://ictvonline.org/taxonomyHistory.asp?taxnode_id=20172176","ICTVonline=20172176")</f>
        <v>ICTVonline=20172176</v>
      </c>
      <c r="L2038" s="3">
        <v>2037</v>
      </c>
    </row>
    <row r="2039" spans="1:12" x14ac:dyDescent="0.15">
      <c r="A2039" s="1" t="s">
        <v>1177</v>
      </c>
      <c r="B2039" s="1" t="s">
        <v>299</v>
      </c>
      <c r="D2039" s="1" t="s">
        <v>412</v>
      </c>
      <c r="E2039" s="1" t="s">
        <v>1522</v>
      </c>
      <c r="F2039" s="3">
        <v>0</v>
      </c>
      <c r="G2039" s="8" t="s">
        <v>2773</v>
      </c>
      <c r="H2039" s="8" t="s">
        <v>5161</v>
      </c>
      <c r="I2039" s="3">
        <v>25</v>
      </c>
      <c r="J2039" s="3" t="s">
        <v>5800</v>
      </c>
      <c r="K2039" s="17" t="str">
        <f>HYPERLINK("http://ictvonline.org/taxonomyHistory.asp?taxnode_id=20172177","ICTVonline=20172177")</f>
        <v>ICTVonline=20172177</v>
      </c>
      <c r="L2039" s="3">
        <v>2038</v>
      </c>
    </row>
    <row r="2040" spans="1:12" x14ac:dyDescent="0.15">
      <c r="A2040" s="1" t="s">
        <v>1177</v>
      </c>
      <c r="B2040" s="1" t="s">
        <v>299</v>
      </c>
      <c r="D2040" s="1" t="s">
        <v>412</v>
      </c>
      <c r="E2040" s="1" t="s">
        <v>1523</v>
      </c>
      <c r="F2040" s="3">
        <v>0</v>
      </c>
      <c r="G2040" s="8" t="s">
        <v>2773</v>
      </c>
      <c r="H2040" s="8" t="s">
        <v>5161</v>
      </c>
      <c r="I2040" s="3">
        <v>25</v>
      </c>
      <c r="J2040" s="3" t="s">
        <v>5800</v>
      </c>
      <c r="K2040" s="17" t="str">
        <f>HYPERLINK("http://ictvonline.org/taxonomyHistory.asp?taxnode_id=20172178","ICTVonline=20172178")</f>
        <v>ICTVonline=20172178</v>
      </c>
      <c r="L2040" s="3">
        <v>2039</v>
      </c>
    </row>
    <row r="2041" spans="1:12" x14ac:dyDescent="0.15">
      <c r="A2041" s="1" t="s">
        <v>1177</v>
      </c>
      <c r="B2041" s="1" t="s">
        <v>299</v>
      </c>
      <c r="D2041" s="1" t="s">
        <v>412</v>
      </c>
      <c r="E2041" s="1" t="s">
        <v>415</v>
      </c>
      <c r="F2041" s="3">
        <v>0</v>
      </c>
      <c r="G2041" s="8" t="s">
        <v>2773</v>
      </c>
      <c r="H2041" s="8" t="s">
        <v>5161</v>
      </c>
      <c r="I2041" s="3">
        <v>25</v>
      </c>
      <c r="J2041" s="3" t="s">
        <v>5800</v>
      </c>
      <c r="K2041" s="17" t="str">
        <f>HYPERLINK("http://ictvonline.org/taxonomyHistory.asp?taxnode_id=20172179","ICTVonline=20172179")</f>
        <v>ICTVonline=20172179</v>
      </c>
      <c r="L2041" s="3">
        <v>2040</v>
      </c>
    </row>
    <row r="2042" spans="1:12" x14ac:dyDescent="0.15">
      <c r="A2042" s="1" t="s">
        <v>1177</v>
      </c>
      <c r="B2042" s="1" t="s">
        <v>299</v>
      </c>
      <c r="D2042" s="1" t="s">
        <v>412</v>
      </c>
      <c r="E2042" s="1" t="s">
        <v>416</v>
      </c>
      <c r="F2042" s="3">
        <v>0</v>
      </c>
      <c r="G2042" s="8" t="s">
        <v>2773</v>
      </c>
      <c r="H2042" s="8" t="s">
        <v>5161</v>
      </c>
      <c r="I2042" s="3">
        <v>25</v>
      </c>
      <c r="J2042" s="3" t="s">
        <v>5800</v>
      </c>
      <c r="K2042" s="17" t="str">
        <f>HYPERLINK("http://ictvonline.org/taxonomyHistory.asp?taxnode_id=20172180","ICTVonline=20172180")</f>
        <v>ICTVonline=20172180</v>
      </c>
      <c r="L2042" s="3">
        <v>2041</v>
      </c>
    </row>
    <row r="2043" spans="1:12" x14ac:dyDescent="0.15">
      <c r="A2043" s="1" t="s">
        <v>1177</v>
      </c>
      <c r="B2043" s="1" t="s">
        <v>299</v>
      </c>
      <c r="D2043" s="1" t="s">
        <v>412</v>
      </c>
      <c r="E2043" s="1" t="s">
        <v>417</v>
      </c>
      <c r="F2043" s="3">
        <v>0</v>
      </c>
      <c r="G2043" s="8" t="s">
        <v>2773</v>
      </c>
      <c r="H2043" s="8" t="s">
        <v>5161</v>
      </c>
      <c r="I2043" s="3">
        <v>25</v>
      </c>
      <c r="J2043" s="3" t="s">
        <v>5800</v>
      </c>
      <c r="K2043" s="17" t="str">
        <f>HYPERLINK("http://ictvonline.org/taxonomyHistory.asp?taxnode_id=20172181","ICTVonline=20172181")</f>
        <v>ICTVonline=20172181</v>
      </c>
      <c r="L2043" s="3">
        <v>2042</v>
      </c>
    </row>
    <row r="2044" spans="1:12" x14ac:dyDescent="0.15">
      <c r="A2044" s="1" t="s">
        <v>1177</v>
      </c>
      <c r="B2044" s="1" t="s">
        <v>299</v>
      </c>
      <c r="D2044" s="1" t="s">
        <v>412</v>
      </c>
      <c r="E2044" s="1" t="s">
        <v>418</v>
      </c>
      <c r="F2044" s="3">
        <v>1</v>
      </c>
      <c r="G2044" s="8" t="s">
        <v>2773</v>
      </c>
      <c r="H2044" s="8" t="s">
        <v>5161</v>
      </c>
      <c r="I2044" s="3">
        <v>25</v>
      </c>
      <c r="J2044" s="3" t="s">
        <v>5800</v>
      </c>
      <c r="K2044" s="17" t="str">
        <f>HYPERLINK("http://ictvonline.org/taxonomyHistory.asp?taxnode_id=20172182","ICTVonline=20172182")</f>
        <v>ICTVonline=20172182</v>
      </c>
      <c r="L2044" s="3">
        <v>2043</v>
      </c>
    </row>
    <row r="2045" spans="1:12" x14ac:dyDescent="0.15">
      <c r="A2045" s="1" t="s">
        <v>1177</v>
      </c>
      <c r="B2045" s="1" t="s">
        <v>299</v>
      </c>
      <c r="D2045" s="1" t="s">
        <v>412</v>
      </c>
      <c r="E2045" s="1" t="s">
        <v>5801</v>
      </c>
      <c r="F2045" s="3">
        <v>0</v>
      </c>
      <c r="G2045" s="8" t="s">
        <v>2773</v>
      </c>
      <c r="H2045" s="8" t="s">
        <v>5159</v>
      </c>
      <c r="I2045" s="3">
        <v>32</v>
      </c>
      <c r="J2045" s="3" t="s">
        <v>5798</v>
      </c>
      <c r="K2045" s="17" t="str">
        <f>HYPERLINK("http://ictvonline.org/taxonomyHistory.asp?taxnode_id=20175633","ICTVonline=20175633")</f>
        <v>ICTVonline=20175633</v>
      </c>
      <c r="L2045" s="3">
        <v>2044</v>
      </c>
    </row>
    <row r="2046" spans="1:12" x14ac:dyDescent="0.15">
      <c r="A2046" s="1" t="s">
        <v>1177</v>
      </c>
      <c r="B2046" s="1" t="s">
        <v>299</v>
      </c>
      <c r="D2046" s="1" t="s">
        <v>715</v>
      </c>
      <c r="E2046" s="1" t="s">
        <v>1176</v>
      </c>
      <c r="F2046" s="3">
        <v>1</v>
      </c>
      <c r="G2046" s="8" t="s">
        <v>2773</v>
      </c>
      <c r="H2046" s="8" t="s">
        <v>5164</v>
      </c>
      <c r="I2046" s="3">
        <v>25</v>
      </c>
      <c r="J2046" s="3" t="s">
        <v>5802</v>
      </c>
      <c r="K2046" s="17" t="str">
        <f>HYPERLINK("http://ictvonline.org/taxonomyHistory.asp?taxnode_id=20172184","ICTVonline=20172184")</f>
        <v>ICTVonline=20172184</v>
      </c>
      <c r="L2046" s="3">
        <v>2045</v>
      </c>
    </row>
    <row r="2047" spans="1:12" x14ac:dyDescent="0.15">
      <c r="A2047" s="1" t="s">
        <v>1177</v>
      </c>
      <c r="B2047" s="1" t="s">
        <v>299</v>
      </c>
      <c r="D2047" s="1" t="s">
        <v>2141</v>
      </c>
      <c r="E2047" s="1" t="s">
        <v>2142</v>
      </c>
      <c r="F2047" s="3">
        <v>1</v>
      </c>
      <c r="G2047" s="8" t="s">
        <v>2773</v>
      </c>
      <c r="H2047" s="8" t="s">
        <v>5164</v>
      </c>
      <c r="I2047" s="3">
        <v>25</v>
      </c>
      <c r="J2047" s="3" t="s">
        <v>5803</v>
      </c>
      <c r="K2047" s="17" t="str">
        <f>HYPERLINK("http://ictvonline.org/taxonomyHistory.asp?taxnode_id=20172186","ICTVonline=20172186")</f>
        <v>ICTVonline=20172186</v>
      </c>
      <c r="L2047" s="3">
        <v>2046</v>
      </c>
    </row>
    <row r="2048" spans="1:12" x14ac:dyDescent="0.15">
      <c r="A2048" s="1" t="s">
        <v>1177</v>
      </c>
      <c r="B2048" s="1" t="s">
        <v>299</v>
      </c>
      <c r="D2048" s="1" t="s">
        <v>347</v>
      </c>
      <c r="E2048" s="1" t="s">
        <v>2342</v>
      </c>
      <c r="F2048" s="3">
        <v>0</v>
      </c>
      <c r="G2048" s="8" t="s">
        <v>2773</v>
      </c>
      <c r="H2048" s="8" t="s">
        <v>5159</v>
      </c>
      <c r="I2048" s="3">
        <v>28</v>
      </c>
      <c r="J2048" s="3" t="s">
        <v>5804</v>
      </c>
      <c r="K2048" s="17" t="str">
        <f>HYPERLINK("http://ictvonline.org/taxonomyHistory.asp?taxnode_id=20172188","ICTVonline=20172188")</f>
        <v>ICTVonline=20172188</v>
      </c>
      <c r="L2048" s="3">
        <v>2047</v>
      </c>
    </row>
    <row r="2049" spans="1:12" x14ac:dyDescent="0.15">
      <c r="A2049" s="1" t="s">
        <v>1177</v>
      </c>
      <c r="B2049" s="1" t="s">
        <v>299</v>
      </c>
      <c r="D2049" s="1" t="s">
        <v>347</v>
      </c>
      <c r="E2049" s="1" t="s">
        <v>1226</v>
      </c>
      <c r="F2049" s="3">
        <v>1</v>
      </c>
      <c r="G2049" s="8" t="s">
        <v>2773</v>
      </c>
      <c r="H2049" s="8" t="s">
        <v>5161</v>
      </c>
      <c r="I2049" s="3">
        <v>25</v>
      </c>
      <c r="J2049" s="3" t="s">
        <v>5800</v>
      </c>
      <c r="K2049" s="17" t="str">
        <f>HYPERLINK("http://ictvonline.org/taxonomyHistory.asp?taxnode_id=20172189","ICTVonline=20172189")</f>
        <v>ICTVonline=20172189</v>
      </c>
      <c r="L2049" s="3">
        <v>2048</v>
      </c>
    </row>
    <row r="2050" spans="1:12" x14ac:dyDescent="0.15">
      <c r="A2050" s="1" t="s">
        <v>1177</v>
      </c>
      <c r="B2050" s="1" t="s">
        <v>299</v>
      </c>
      <c r="D2050" s="1" t="s">
        <v>3790</v>
      </c>
      <c r="E2050" s="1" t="s">
        <v>3791</v>
      </c>
      <c r="F2050" s="3">
        <v>1</v>
      </c>
      <c r="G2050" s="8" t="s">
        <v>2773</v>
      </c>
      <c r="H2050" s="8" t="s">
        <v>5159</v>
      </c>
      <c r="I2050" s="3">
        <v>30</v>
      </c>
      <c r="J2050" s="3" t="s">
        <v>5805</v>
      </c>
      <c r="K2050" s="17" t="str">
        <f>HYPERLINK("http://ictvonline.org/taxonomyHistory.asp?taxnode_id=20172191","ICTVonline=20172191")</f>
        <v>ICTVonline=20172191</v>
      </c>
      <c r="L2050" s="3">
        <v>2049</v>
      </c>
    </row>
    <row r="2051" spans="1:12" x14ac:dyDescent="0.15">
      <c r="A2051" s="1" t="s">
        <v>1177</v>
      </c>
      <c r="B2051" s="1" t="s">
        <v>299</v>
      </c>
      <c r="D2051" s="1" t="s">
        <v>1227</v>
      </c>
      <c r="E2051" s="1" t="s">
        <v>5806</v>
      </c>
      <c r="F2051" s="3">
        <v>0</v>
      </c>
      <c r="G2051" s="8" t="s">
        <v>2773</v>
      </c>
      <c r="H2051" s="8" t="s">
        <v>5159</v>
      </c>
      <c r="I2051" s="3">
        <v>32</v>
      </c>
      <c r="J2051" s="3" t="s">
        <v>5798</v>
      </c>
      <c r="K2051" s="17" t="str">
        <f>HYPERLINK("http://ictvonline.org/taxonomyHistory.asp?taxnode_id=20175634","ICTVonline=20175634")</f>
        <v>ICTVonline=20175634</v>
      </c>
      <c r="L2051" s="3">
        <v>2050</v>
      </c>
    </row>
    <row r="2052" spans="1:12" x14ac:dyDescent="0.15">
      <c r="A2052" s="1" t="s">
        <v>1177</v>
      </c>
      <c r="B2052" s="1" t="s">
        <v>299</v>
      </c>
      <c r="D2052" s="1" t="s">
        <v>1227</v>
      </c>
      <c r="E2052" s="1" t="s">
        <v>2216</v>
      </c>
      <c r="F2052" s="3">
        <v>0</v>
      </c>
      <c r="G2052" s="8" t="s">
        <v>2773</v>
      </c>
      <c r="H2052" s="8" t="s">
        <v>5159</v>
      </c>
      <c r="I2052" s="3">
        <v>27</v>
      </c>
      <c r="J2052" s="3" t="s">
        <v>5807</v>
      </c>
      <c r="K2052" s="17" t="str">
        <f>HYPERLINK("http://ictvonline.org/taxonomyHistory.asp?taxnode_id=20172193","ICTVonline=20172193")</f>
        <v>ICTVonline=20172193</v>
      </c>
      <c r="L2052" s="3">
        <v>2051</v>
      </c>
    </row>
    <row r="2053" spans="1:12" x14ac:dyDescent="0.15">
      <c r="A2053" s="1" t="s">
        <v>1177</v>
      </c>
      <c r="B2053" s="1" t="s">
        <v>299</v>
      </c>
      <c r="D2053" s="1" t="s">
        <v>1227</v>
      </c>
      <c r="E2053" s="1" t="s">
        <v>230</v>
      </c>
      <c r="F2053" s="3">
        <v>0</v>
      </c>
      <c r="G2053" s="8" t="s">
        <v>2773</v>
      </c>
      <c r="H2053" s="8" t="s">
        <v>5161</v>
      </c>
      <c r="I2053" s="3">
        <v>25</v>
      </c>
      <c r="J2053" s="3" t="s">
        <v>5800</v>
      </c>
      <c r="K2053" s="17" t="str">
        <f>HYPERLINK("http://ictvonline.org/taxonomyHistory.asp?taxnode_id=20172194","ICTVonline=20172194")</f>
        <v>ICTVonline=20172194</v>
      </c>
      <c r="L2053" s="3">
        <v>2052</v>
      </c>
    </row>
    <row r="2054" spans="1:12" x14ac:dyDescent="0.15">
      <c r="A2054" s="1" t="s">
        <v>1177</v>
      </c>
      <c r="B2054" s="1" t="s">
        <v>299</v>
      </c>
      <c r="D2054" s="1" t="s">
        <v>1227</v>
      </c>
      <c r="E2054" s="1" t="s">
        <v>231</v>
      </c>
      <c r="F2054" s="3">
        <v>0</v>
      </c>
      <c r="G2054" s="8" t="s">
        <v>2773</v>
      </c>
      <c r="H2054" s="8" t="s">
        <v>5161</v>
      </c>
      <c r="I2054" s="3">
        <v>25</v>
      </c>
      <c r="J2054" s="3" t="s">
        <v>5800</v>
      </c>
      <c r="K2054" s="17" t="str">
        <f>HYPERLINK("http://ictvonline.org/taxonomyHistory.asp?taxnode_id=20172195","ICTVonline=20172195")</f>
        <v>ICTVonline=20172195</v>
      </c>
      <c r="L2054" s="3">
        <v>2053</v>
      </c>
    </row>
    <row r="2055" spans="1:12" x14ac:dyDescent="0.15">
      <c r="A2055" s="1" t="s">
        <v>1177</v>
      </c>
      <c r="B2055" s="1" t="s">
        <v>299</v>
      </c>
      <c r="D2055" s="1" t="s">
        <v>1227</v>
      </c>
      <c r="E2055" s="1" t="s">
        <v>232</v>
      </c>
      <c r="F2055" s="3">
        <v>0</v>
      </c>
      <c r="G2055" s="8" t="s">
        <v>2773</v>
      </c>
      <c r="H2055" s="8" t="s">
        <v>5161</v>
      </c>
      <c r="I2055" s="3">
        <v>25</v>
      </c>
      <c r="J2055" s="3" t="s">
        <v>5800</v>
      </c>
      <c r="K2055" s="17" t="str">
        <f>HYPERLINK("http://ictvonline.org/taxonomyHistory.asp?taxnode_id=20172196","ICTVonline=20172196")</f>
        <v>ICTVonline=20172196</v>
      </c>
      <c r="L2055" s="3">
        <v>2054</v>
      </c>
    </row>
    <row r="2056" spans="1:12" x14ac:dyDescent="0.15">
      <c r="A2056" s="1" t="s">
        <v>1177</v>
      </c>
      <c r="B2056" s="1" t="s">
        <v>299</v>
      </c>
      <c r="D2056" s="1" t="s">
        <v>1227</v>
      </c>
      <c r="E2056" s="1" t="s">
        <v>233</v>
      </c>
      <c r="F2056" s="3">
        <v>0</v>
      </c>
      <c r="G2056" s="8" t="s">
        <v>2773</v>
      </c>
      <c r="H2056" s="8" t="s">
        <v>5161</v>
      </c>
      <c r="I2056" s="3">
        <v>25</v>
      </c>
      <c r="J2056" s="3" t="s">
        <v>5800</v>
      </c>
      <c r="K2056" s="17" t="str">
        <f>HYPERLINK("http://ictvonline.org/taxonomyHistory.asp?taxnode_id=20172197","ICTVonline=20172197")</f>
        <v>ICTVonline=20172197</v>
      </c>
      <c r="L2056" s="3">
        <v>2055</v>
      </c>
    </row>
    <row r="2057" spans="1:12" x14ac:dyDescent="0.15">
      <c r="A2057" s="1" t="s">
        <v>1177</v>
      </c>
      <c r="B2057" s="1" t="s">
        <v>299</v>
      </c>
      <c r="D2057" s="1" t="s">
        <v>1227</v>
      </c>
      <c r="E2057" s="1" t="s">
        <v>234</v>
      </c>
      <c r="F2057" s="3">
        <v>0</v>
      </c>
      <c r="G2057" s="8" t="s">
        <v>2773</v>
      </c>
      <c r="H2057" s="8" t="s">
        <v>5161</v>
      </c>
      <c r="I2057" s="3">
        <v>25</v>
      </c>
      <c r="J2057" s="3" t="s">
        <v>5800</v>
      </c>
      <c r="K2057" s="17" t="str">
        <f>HYPERLINK("http://ictvonline.org/taxonomyHistory.asp?taxnode_id=20172198","ICTVonline=20172198")</f>
        <v>ICTVonline=20172198</v>
      </c>
      <c r="L2057" s="3">
        <v>2056</v>
      </c>
    </row>
    <row r="2058" spans="1:12" x14ac:dyDescent="0.15">
      <c r="A2058" s="1" t="s">
        <v>1177</v>
      </c>
      <c r="B2058" s="1" t="s">
        <v>299</v>
      </c>
      <c r="D2058" s="1" t="s">
        <v>1227</v>
      </c>
      <c r="E2058" s="1" t="s">
        <v>235</v>
      </c>
      <c r="F2058" s="3">
        <v>0</v>
      </c>
      <c r="G2058" s="8" t="s">
        <v>2773</v>
      </c>
      <c r="H2058" s="8" t="s">
        <v>5161</v>
      </c>
      <c r="I2058" s="3">
        <v>25</v>
      </c>
      <c r="J2058" s="3" t="s">
        <v>5800</v>
      </c>
      <c r="K2058" s="17" t="str">
        <f>HYPERLINK("http://ictvonline.org/taxonomyHistory.asp?taxnode_id=20172199","ICTVonline=20172199")</f>
        <v>ICTVonline=20172199</v>
      </c>
      <c r="L2058" s="3">
        <v>2057</v>
      </c>
    </row>
    <row r="2059" spans="1:12" x14ac:dyDescent="0.15">
      <c r="A2059" s="1" t="s">
        <v>1177</v>
      </c>
      <c r="B2059" s="1" t="s">
        <v>299</v>
      </c>
      <c r="D2059" s="1" t="s">
        <v>1227</v>
      </c>
      <c r="E2059" s="1" t="s">
        <v>236</v>
      </c>
      <c r="F2059" s="3">
        <v>0</v>
      </c>
      <c r="G2059" s="8" t="s">
        <v>2773</v>
      </c>
      <c r="H2059" s="8" t="s">
        <v>5161</v>
      </c>
      <c r="I2059" s="3">
        <v>25</v>
      </c>
      <c r="J2059" s="3" t="s">
        <v>5800</v>
      </c>
      <c r="K2059" s="17" t="str">
        <f>HYPERLINK("http://ictvonline.org/taxonomyHistory.asp?taxnode_id=20172200","ICTVonline=20172200")</f>
        <v>ICTVonline=20172200</v>
      </c>
      <c r="L2059" s="3">
        <v>2058</v>
      </c>
    </row>
    <row r="2060" spans="1:12" x14ac:dyDescent="0.15">
      <c r="A2060" s="1" t="s">
        <v>1177</v>
      </c>
      <c r="B2060" s="1" t="s">
        <v>299</v>
      </c>
      <c r="D2060" s="1" t="s">
        <v>1227</v>
      </c>
      <c r="E2060" s="1" t="s">
        <v>237</v>
      </c>
      <c r="F2060" s="3">
        <v>0</v>
      </c>
      <c r="G2060" s="8" t="s">
        <v>2773</v>
      </c>
      <c r="H2060" s="8" t="s">
        <v>5161</v>
      </c>
      <c r="I2060" s="3">
        <v>25</v>
      </c>
      <c r="J2060" s="3" t="s">
        <v>5800</v>
      </c>
      <c r="K2060" s="17" t="str">
        <f>HYPERLINK("http://ictvonline.org/taxonomyHistory.asp?taxnode_id=20172201","ICTVonline=20172201")</f>
        <v>ICTVonline=20172201</v>
      </c>
      <c r="L2060" s="3">
        <v>2059</v>
      </c>
    </row>
    <row r="2061" spans="1:12" x14ac:dyDescent="0.15">
      <c r="A2061" s="1" t="s">
        <v>1177</v>
      </c>
      <c r="B2061" s="1" t="s">
        <v>299</v>
      </c>
      <c r="D2061" s="1" t="s">
        <v>1227</v>
      </c>
      <c r="E2061" s="1" t="s">
        <v>238</v>
      </c>
      <c r="F2061" s="3">
        <v>0</v>
      </c>
      <c r="G2061" s="8" t="s">
        <v>2773</v>
      </c>
      <c r="H2061" s="8" t="s">
        <v>5161</v>
      </c>
      <c r="I2061" s="3">
        <v>25</v>
      </c>
      <c r="J2061" s="3" t="s">
        <v>5800</v>
      </c>
      <c r="K2061" s="17" t="str">
        <f>HYPERLINK("http://ictvonline.org/taxonomyHistory.asp?taxnode_id=20172202","ICTVonline=20172202")</f>
        <v>ICTVonline=20172202</v>
      </c>
      <c r="L2061" s="3">
        <v>2060</v>
      </c>
    </row>
    <row r="2062" spans="1:12" x14ac:dyDescent="0.15">
      <c r="A2062" s="1" t="s">
        <v>1177</v>
      </c>
      <c r="B2062" s="1" t="s">
        <v>299</v>
      </c>
      <c r="D2062" s="1" t="s">
        <v>1227</v>
      </c>
      <c r="E2062" s="1" t="s">
        <v>239</v>
      </c>
      <c r="F2062" s="3">
        <v>0</v>
      </c>
      <c r="G2062" s="8" t="s">
        <v>2773</v>
      </c>
      <c r="H2062" s="8" t="s">
        <v>5161</v>
      </c>
      <c r="I2062" s="3">
        <v>25</v>
      </c>
      <c r="J2062" s="3" t="s">
        <v>5800</v>
      </c>
      <c r="K2062" s="17" t="str">
        <f>HYPERLINK("http://ictvonline.org/taxonomyHistory.asp?taxnode_id=20172203","ICTVonline=20172203")</f>
        <v>ICTVonline=20172203</v>
      </c>
      <c r="L2062" s="3">
        <v>2061</v>
      </c>
    </row>
    <row r="2063" spans="1:12" x14ac:dyDescent="0.15">
      <c r="A2063" s="1" t="s">
        <v>1177</v>
      </c>
      <c r="B2063" s="1" t="s">
        <v>299</v>
      </c>
      <c r="D2063" s="1" t="s">
        <v>1227</v>
      </c>
      <c r="E2063" s="1" t="s">
        <v>1464</v>
      </c>
      <c r="F2063" s="3">
        <v>0</v>
      </c>
      <c r="G2063" s="8" t="s">
        <v>2773</v>
      </c>
      <c r="H2063" s="8" t="s">
        <v>5161</v>
      </c>
      <c r="I2063" s="3">
        <v>25</v>
      </c>
      <c r="J2063" s="3" t="s">
        <v>5800</v>
      </c>
      <c r="K2063" s="17" t="str">
        <f>HYPERLINK("http://ictvonline.org/taxonomyHistory.asp?taxnode_id=20172204","ICTVonline=20172204")</f>
        <v>ICTVonline=20172204</v>
      </c>
      <c r="L2063" s="3">
        <v>2062</v>
      </c>
    </row>
    <row r="2064" spans="1:12" x14ac:dyDescent="0.15">
      <c r="A2064" s="1" t="s">
        <v>1177</v>
      </c>
      <c r="B2064" s="1" t="s">
        <v>299</v>
      </c>
      <c r="D2064" s="1" t="s">
        <v>1227</v>
      </c>
      <c r="E2064" s="1" t="s">
        <v>1465</v>
      </c>
      <c r="F2064" s="3">
        <v>0</v>
      </c>
      <c r="G2064" s="8" t="s">
        <v>2773</v>
      </c>
      <c r="H2064" s="8" t="s">
        <v>5161</v>
      </c>
      <c r="I2064" s="3">
        <v>25</v>
      </c>
      <c r="J2064" s="3" t="s">
        <v>5800</v>
      </c>
      <c r="K2064" s="17" t="str">
        <f>HYPERLINK("http://ictvonline.org/taxonomyHistory.asp?taxnode_id=20172205","ICTVonline=20172205")</f>
        <v>ICTVonline=20172205</v>
      </c>
      <c r="L2064" s="3">
        <v>2063</v>
      </c>
    </row>
    <row r="2065" spans="1:12" x14ac:dyDescent="0.15">
      <c r="A2065" s="1" t="s">
        <v>1177</v>
      </c>
      <c r="B2065" s="1" t="s">
        <v>299</v>
      </c>
      <c r="D2065" s="1" t="s">
        <v>1227</v>
      </c>
      <c r="E2065" s="1" t="s">
        <v>2217</v>
      </c>
      <c r="F2065" s="3">
        <v>0</v>
      </c>
      <c r="G2065" s="8" t="s">
        <v>2773</v>
      </c>
      <c r="H2065" s="8" t="s">
        <v>5159</v>
      </c>
      <c r="I2065" s="3">
        <v>27</v>
      </c>
      <c r="J2065" s="3" t="s">
        <v>5807</v>
      </c>
      <c r="K2065" s="17" t="str">
        <f>HYPERLINK("http://ictvonline.org/taxonomyHistory.asp?taxnode_id=20172206","ICTVonline=20172206")</f>
        <v>ICTVonline=20172206</v>
      </c>
      <c r="L2065" s="3">
        <v>2064</v>
      </c>
    </row>
    <row r="2066" spans="1:12" x14ac:dyDescent="0.15">
      <c r="A2066" s="1" t="s">
        <v>1177</v>
      </c>
      <c r="B2066" s="1" t="s">
        <v>299</v>
      </c>
      <c r="D2066" s="1" t="s">
        <v>1227</v>
      </c>
      <c r="E2066" s="1" t="s">
        <v>2043</v>
      </c>
      <c r="F2066" s="3">
        <v>0</v>
      </c>
      <c r="G2066" s="8" t="s">
        <v>2773</v>
      </c>
      <c r="H2066" s="8" t="s">
        <v>5159</v>
      </c>
      <c r="I2066" s="3">
        <v>25</v>
      </c>
      <c r="J2066" s="3" t="s">
        <v>5808</v>
      </c>
      <c r="K2066" s="17" t="str">
        <f>HYPERLINK("http://ictvonline.org/taxonomyHistory.asp?taxnode_id=20172207","ICTVonline=20172207")</f>
        <v>ICTVonline=20172207</v>
      </c>
      <c r="L2066" s="3">
        <v>2065</v>
      </c>
    </row>
    <row r="2067" spans="1:12" x14ac:dyDescent="0.15">
      <c r="A2067" s="1" t="s">
        <v>1177</v>
      </c>
      <c r="B2067" s="1" t="s">
        <v>299</v>
      </c>
      <c r="D2067" s="1" t="s">
        <v>1227</v>
      </c>
      <c r="E2067" s="1" t="s">
        <v>456</v>
      </c>
      <c r="F2067" s="3">
        <v>0</v>
      </c>
      <c r="G2067" s="8" t="s">
        <v>2773</v>
      </c>
      <c r="H2067" s="8" t="s">
        <v>5161</v>
      </c>
      <c r="I2067" s="3">
        <v>25</v>
      </c>
      <c r="J2067" s="3" t="s">
        <v>5800</v>
      </c>
      <c r="K2067" s="17" t="str">
        <f>HYPERLINK("http://ictvonline.org/taxonomyHistory.asp?taxnode_id=20172208","ICTVonline=20172208")</f>
        <v>ICTVonline=20172208</v>
      </c>
      <c r="L2067" s="3">
        <v>2066</v>
      </c>
    </row>
    <row r="2068" spans="1:12" x14ac:dyDescent="0.15">
      <c r="A2068" s="1" t="s">
        <v>1177</v>
      </c>
      <c r="B2068" s="1" t="s">
        <v>299</v>
      </c>
      <c r="D2068" s="1" t="s">
        <v>1227</v>
      </c>
      <c r="E2068" s="1" t="s">
        <v>2138</v>
      </c>
      <c r="F2068" s="3">
        <v>0</v>
      </c>
      <c r="G2068" s="8" t="s">
        <v>2773</v>
      </c>
      <c r="H2068" s="8" t="s">
        <v>5159</v>
      </c>
      <c r="I2068" s="3">
        <v>25</v>
      </c>
      <c r="J2068" s="3" t="s">
        <v>5809</v>
      </c>
      <c r="K2068" s="17" t="str">
        <f>HYPERLINK("http://ictvonline.org/taxonomyHistory.asp?taxnode_id=20172209","ICTVonline=20172209")</f>
        <v>ICTVonline=20172209</v>
      </c>
      <c r="L2068" s="3">
        <v>2067</v>
      </c>
    </row>
    <row r="2069" spans="1:12" x14ac:dyDescent="0.15">
      <c r="A2069" s="1" t="s">
        <v>1177</v>
      </c>
      <c r="B2069" s="1" t="s">
        <v>299</v>
      </c>
      <c r="D2069" s="1" t="s">
        <v>1227</v>
      </c>
      <c r="E2069" s="1" t="s">
        <v>457</v>
      </c>
      <c r="F2069" s="3">
        <v>0</v>
      </c>
      <c r="G2069" s="8" t="s">
        <v>2773</v>
      </c>
      <c r="H2069" s="8" t="s">
        <v>5161</v>
      </c>
      <c r="I2069" s="3">
        <v>25</v>
      </c>
      <c r="J2069" s="3" t="s">
        <v>5800</v>
      </c>
      <c r="K2069" s="17" t="str">
        <f>HYPERLINK("http://ictvonline.org/taxonomyHistory.asp?taxnode_id=20172210","ICTVonline=20172210")</f>
        <v>ICTVonline=20172210</v>
      </c>
      <c r="L2069" s="3">
        <v>2068</v>
      </c>
    </row>
    <row r="2070" spans="1:12" x14ac:dyDescent="0.15">
      <c r="A2070" s="1" t="s">
        <v>1177</v>
      </c>
      <c r="B2070" s="1" t="s">
        <v>299</v>
      </c>
      <c r="D2070" s="1" t="s">
        <v>1227</v>
      </c>
      <c r="E2070" s="1" t="s">
        <v>458</v>
      </c>
      <c r="F2070" s="3">
        <v>0</v>
      </c>
      <c r="G2070" s="8" t="s">
        <v>2773</v>
      </c>
      <c r="H2070" s="8" t="s">
        <v>5161</v>
      </c>
      <c r="I2070" s="3">
        <v>25</v>
      </c>
      <c r="J2070" s="3" t="s">
        <v>5800</v>
      </c>
      <c r="K2070" s="17" t="str">
        <f>HYPERLINK("http://ictvonline.org/taxonomyHistory.asp?taxnode_id=20172211","ICTVonline=20172211")</f>
        <v>ICTVonline=20172211</v>
      </c>
      <c r="L2070" s="3">
        <v>2069</v>
      </c>
    </row>
    <row r="2071" spans="1:12" x14ac:dyDescent="0.15">
      <c r="A2071" s="1" t="s">
        <v>1177</v>
      </c>
      <c r="B2071" s="1" t="s">
        <v>299</v>
      </c>
      <c r="D2071" s="1" t="s">
        <v>1227</v>
      </c>
      <c r="E2071" s="1" t="s">
        <v>459</v>
      </c>
      <c r="F2071" s="3">
        <v>0</v>
      </c>
      <c r="G2071" s="8" t="s">
        <v>2773</v>
      </c>
      <c r="H2071" s="8" t="s">
        <v>5161</v>
      </c>
      <c r="I2071" s="3">
        <v>25</v>
      </c>
      <c r="J2071" s="3" t="s">
        <v>5800</v>
      </c>
      <c r="K2071" s="17" t="str">
        <f>HYPERLINK("http://ictvonline.org/taxonomyHistory.asp?taxnode_id=20172212","ICTVonline=20172212")</f>
        <v>ICTVonline=20172212</v>
      </c>
      <c r="L2071" s="3">
        <v>2070</v>
      </c>
    </row>
    <row r="2072" spans="1:12" x14ac:dyDescent="0.15">
      <c r="A2072" s="1" t="s">
        <v>1177</v>
      </c>
      <c r="B2072" s="1" t="s">
        <v>299</v>
      </c>
      <c r="D2072" s="1" t="s">
        <v>1227</v>
      </c>
      <c r="E2072" s="1" t="s">
        <v>460</v>
      </c>
      <c r="F2072" s="3">
        <v>0</v>
      </c>
      <c r="G2072" s="8" t="s">
        <v>2773</v>
      </c>
      <c r="H2072" s="8" t="s">
        <v>5161</v>
      </c>
      <c r="I2072" s="3">
        <v>25</v>
      </c>
      <c r="J2072" s="3" t="s">
        <v>5800</v>
      </c>
      <c r="K2072" s="17" t="str">
        <f>HYPERLINK("http://ictvonline.org/taxonomyHistory.asp?taxnode_id=20172213","ICTVonline=20172213")</f>
        <v>ICTVonline=20172213</v>
      </c>
      <c r="L2072" s="3">
        <v>2071</v>
      </c>
    </row>
    <row r="2073" spans="1:12" x14ac:dyDescent="0.15">
      <c r="A2073" s="1" t="s">
        <v>1177</v>
      </c>
      <c r="B2073" s="1" t="s">
        <v>299</v>
      </c>
      <c r="D2073" s="1" t="s">
        <v>1227</v>
      </c>
      <c r="E2073" s="1" t="s">
        <v>461</v>
      </c>
      <c r="F2073" s="3">
        <v>0</v>
      </c>
      <c r="G2073" s="8" t="s">
        <v>2773</v>
      </c>
      <c r="H2073" s="8" t="s">
        <v>5161</v>
      </c>
      <c r="I2073" s="3">
        <v>25</v>
      </c>
      <c r="J2073" s="3" t="s">
        <v>5800</v>
      </c>
      <c r="K2073" s="17" t="str">
        <f>HYPERLINK("http://ictvonline.org/taxonomyHistory.asp?taxnode_id=20172214","ICTVonline=20172214")</f>
        <v>ICTVonline=20172214</v>
      </c>
      <c r="L2073" s="3">
        <v>2072</v>
      </c>
    </row>
    <row r="2074" spans="1:12" x14ac:dyDescent="0.15">
      <c r="A2074" s="1" t="s">
        <v>1177</v>
      </c>
      <c r="B2074" s="1" t="s">
        <v>299</v>
      </c>
      <c r="D2074" s="1" t="s">
        <v>1227</v>
      </c>
      <c r="E2074" s="1" t="s">
        <v>1457</v>
      </c>
      <c r="F2074" s="3">
        <v>0</v>
      </c>
      <c r="G2074" s="8" t="s">
        <v>2773</v>
      </c>
      <c r="H2074" s="8" t="s">
        <v>5161</v>
      </c>
      <c r="I2074" s="3">
        <v>25</v>
      </c>
      <c r="J2074" s="3" t="s">
        <v>5800</v>
      </c>
      <c r="K2074" s="17" t="str">
        <f>HYPERLINK("http://ictvonline.org/taxonomyHistory.asp?taxnode_id=20172215","ICTVonline=20172215")</f>
        <v>ICTVonline=20172215</v>
      </c>
      <c r="L2074" s="3">
        <v>2073</v>
      </c>
    </row>
    <row r="2075" spans="1:12" x14ac:dyDescent="0.15">
      <c r="A2075" s="1" t="s">
        <v>1177</v>
      </c>
      <c r="B2075" s="1" t="s">
        <v>299</v>
      </c>
      <c r="D2075" s="1" t="s">
        <v>1227</v>
      </c>
      <c r="E2075" s="1" t="s">
        <v>2139</v>
      </c>
      <c r="F2075" s="3">
        <v>0</v>
      </c>
      <c r="G2075" s="8" t="s">
        <v>2773</v>
      </c>
      <c r="H2075" s="8" t="s">
        <v>5159</v>
      </c>
      <c r="I2075" s="3">
        <v>25</v>
      </c>
      <c r="J2075" s="3" t="s">
        <v>5809</v>
      </c>
      <c r="K2075" s="17" t="str">
        <f>HYPERLINK("http://ictvonline.org/taxonomyHistory.asp?taxnode_id=20172216","ICTVonline=20172216")</f>
        <v>ICTVonline=20172216</v>
      </c>
      <c r="L2075" s="3">
        <v>2074</v>
      </c>
    </row>
    <row r="2076" spans="1:12" x14ac:dyDescent="0.15">
      <c r="A2076" s="1" t="s">
        <v>1177</v>
      </c>
      <c r="B2076" s="1" t="s">
        <v>299</v>
      </c>
      <c r="D2076" s="1" t="s">
        <v>1227</v>
      </c>
      <c r="E2076" s="1" t="s">
        <v>5810</v>
      </c>
      <c r="F2076" s="3">
        <v>0</v>
      </c>
      <c r="G2076" s="8" t="s">
        <v>2773</v>
      </c>
      <c r="H2076" s="8" t="s">
        <v>5159</v>
      </c>
      <c r="I2076" s="3">
        <v>32</v>
      </c>
      <c r="J2076" s="3" t="s">
        <v>5798</v>
      </c>
      <c r="K2076" s="17" t="str">
        <f>HYPERLINK("http://ictvonline.org/taxonomyHistory.asp?taxnode_id=20175635","ICTVonline=20175635")</f>
        <v>ICTVonline=20175635</v>
      </c>
      <c r="L2076" s="3">
        <v>2075</v>
      </c>
    </row>
    <row r="2077" spans="1:12" x14ac:dyDescent="0.15">
      <c r="A2077" s="1" t="s">
        <v>1177</v>
      </c>
      <c r="B2077" s="1" t="s">
        <v>299</v>
      </c>
      <c r="D2077" s="1" t="s">
        <v>1227</v>
      </c>
      <c r="E2077" s="1" t="s">
        <v>1458</v>
      </c>
      <c r="F2077" s="3">
        <v>0</v>
      </c>
      <c r="G2077" s="8" t="s">
        <v>2773</v>
      </c>
      <c r="H2077" s="8" t="s">
        <v>5161</v>
      </c>
      <c r="I2077" s="3">
        <v>25</v>
      </c>
      <c r="J2077" s="3" t="s">
        <v>5800</v>
      </c>
      <c r="K2077" s="17" t="str">
        <f>HYPERLINK("http://ictvonline.org/taxonomyHistory.asp?taxnode_id=20172217","ICTVonline=20172217")</f>
        <v>ICTVonline=20172217</v>
      </c>
      <c r="L2077" s="3">
        <v>2076</v>
      </c>
    </row>
    <row r="2078" spans="1:12" x14ac:dyDescent="0.15">
      <c r="A2078" s="1" t="s">
        <v>1177</v>
      </c>
      <c r="B2078" s="1" t="s">
        <v>299</v>
      </c>
      <c r="D2078" s="1" t="s">
        <v>1227</v>
      </c>
      <c r="E2078" s="1" t="s">
        <v>1459</v>
      </c>
      <c r="F2078" s="3">
        <v>0</v>
      </c>
      <c r="G2078" s="8" t="s">
        <v>2773</v>
      </c>
      <c r="H2078" s="8" t="s">
        <v>5161</v>
      </c>
      <c r="I2078" s="3">
        <v>25</v>
      </c>
      <c r="J2078" s="3" t="s">
        <v>5800</v>
      </c>
      <c r="K2078" s="17" t="str">
        <f>HYPERLINK("http://ictvonline.org/taxonomyHistory.asp?taxnode_id=20172218","ICTVonline=20172218")</f>
        <v>ICTVonline=20172218</v>
      </c>
      <c r="L2078" s="3">
        <v>2077</v>
      </c>
    </row>
    <row r="2079" spans="1:12" x14ac:dyDescent="0.15">
      <c r="A2079" s="1" t="s">
        <v>1177</v>
      </c>
      <c r="B2079" s="1" t="s">
        <v>299</v>
      </c>
      <c r="D2079" s="1" t="s">
        <v>1227</v>
      </c>
      <c r="E2079" s="1" t="s">
        <v>1460</v>
      </c>
      <c r="F2079" s="3">
        <v>0</v>
      </c>
      <c r="G2079" s="8" t="s">
        <v>2773</v>
      </c>
      <c r="H2079" s="8" t="s">
        <v>5161</v>
      </c>
      <c r="I2079" s="3">
        <v>25</v>
      </c>
      <c r="J2079" s="3" t="s">
        <v>5800</v>
      </c>
      <c r="K2079" s="17" t="str">
        <f>HYPERLINK("http://ictvonline.org/taxonomyHistory.asp?taxnode_id=20172219","ICTVonline=20172219")</f>
        <v>ICTVonline=20172219</v>
      </c>
      <c r="L2079" s="3">
        <v>2078</v>
      </c>
    </row>
    <row r="2080" spans="1:12" x14ac:dyDescent="0.15">
      <c r="A2080" s="1" t="s">
        <v>1177</v>
      </c>
      <c r="B2080" s="1" t="s">
        <v>299</v>
      </c>
      <c r="D2080" s="1" t="s">
        <v>1227</v>
      </c>
      <c r="E2080" s="1" t="s">
        <v>1461</v>
      </c>
      <c r="F2080" s="3">
        <v>1</v>
      </c>
      <c r="G2080" s="8" t="s">
        <v>2773</v>
      </c>
      <c r="H2080" s="8" t="s">
        <v>5161</v>
      </c>
      <c r="I2080" s="3">
        <v>25</v>
      </c>
      <c r="J2080" s="3" t="s">
        <v>5800</v>
      </c>
      <c r="K2080" s="17" t="str">
        <f>HYPERLINK("http://ictvonline.org/taxonomyHistory.asp?taxnode_id=20172220","ICTVonline=20172220")</f>
        <v>ICTVonline=20172220</v>
      </c>
      <c r="L2080" s="3">
        <v>2079</v>
      </c>
    </row>
    <row r="2081" spans="1:12" x14ac:dyDescent="0.15">
      <c r="A2081" s="1" t="s">
        <v>1177</v>
      </c>
      <c r="B2081" s="1" t="s">
        <v>299</v>
      </c>
      <c r="D2081" s="1" t="s">
        <v>1227</v>
      </c>
      <c r="E2081" s="1" t="s">
        <v>1462</v>
      </c>
      <c r="F2081" s="3">
        <v>0</v>
      </c>
      <c r="G2081" s="8" t="s">
        <v>2773</v>
      </c>
      <c r="H2081" s="8" t="s">
        <v>5161</v>
      </c>
      <c r="I2081" s="3">
        <v>25</v>
      </c>
      <c r="J2081" s="3" t="s">
        <v>5800</v>
      </c>
      <c r="K2081" s="17" t="str">
        <f>HYPERLINK("http://ictvonline.org/taxonomyHistory.asp?taxnode_id=20172221","ICTVonline=20172221")</f>
        <v>ICTVonline=20172221</v>
      </c>
      <c r="L2081" s="3">
        <v>2080</v>
      </c>
    </row>
    <row r="2082" spans="1:12" x14ac:dyDescent="0.15">
      <c r="A2082" s="1" t="s">
        <v>1177</v>
      </c>
      <c r="B2082" s="1" t="s">
        <v>299</v>
      </c>
      <c r="D2082" s="1" t="s">
        <v>1227</v>
      </c>
      <c r="E2082" s="1" t="s">
        <v>1469</v>
      </c>
      <c r="F2082" s="3">
        <v>0</v>
      </c>
      <c r="G2082" s="8" t="s">
        <v>2773</v>
      </c>
      <c r="H2082" s="8" t="s">
        <v>5161</v>
      </c>
      <c r="I2082" s="3">
        <v>25</v>
      </c>
      <c r="J2082" s="3" t="s">
        <v>5800</v>
      </c>
      <c r="K2082" s="17" t="str">
        <f>HYPERLINK("http://ictvonline.org/taxonomyHistory.asp?taxnode_id=20172222","ICTVonline=20172222")</f>
        <v>ICTVonline=20172222</v>
      </c>
      <c r="L2082" s="3">
        <v>2081</v>
      </c>
    </row>
    <row r="2083" spans="1:12" x14ac:dyDescent="0.15">
      <c r="A2083" s="1" t="s">
        <v>1177</v>
      </c>
      <c r="B2083" s="1" t="s">
        <v>299</v>
      </c>
      <c r="D2083" s="1" t="s">
        <v>1227</v>
      </c>
      <c r="E2083" s="1" t="s">
        <v>1470</v>
      </c>
      <c r="F2083" s="3">
        <v>0</v>
      </c>
      <c r="G2083" s="8" t="s">
        <v>2773</v>
      </c>
      <c r="H2083" s="8" t="s">
        <v>5161</v>
      </c>
      <c r="I2083" s="3">
        <v>25</v>
      </c>
      <c r="J2083" s="3" t="s">
        <v>5800</v>
      </c>
      <c r="K2083" s="17" t="str">
        <f>HYPERLINK("http://ictvonline.org/taxonomyHistory.asp?taxnode_id=20172223","ICTVonline=20172223")</f>
        <v>ICTVonline=20172223</v>
      </c>
      <c r="L2083" s="3">
        <v>2082</v>
      </c>
    </row>
    <row r="2084" spans="1:12" x14ac:dyDescent="0.15">
      <c r="A2084" s="1" t="s">
        <v>1177</v>
      </c>
      <c r="B2084" s="1" t="s">
        <v>299</v>
      </c>
      <c r="D2084" s="1" t="s">
        <v>1227</v>
      </c>
      <c r="E2084" s="1" t="s">
        <v>1466</v>
      </c>
      <c r="F2084" s="3">
        <v>0</v>
      </c>
      <c r="G2084" s="8" t="s">
        <v>2773</v>
      </c>
      <c r="H2084" s="8" t="s">
        <v>5161</v>
      </c>
      <c r="I2084" s="3">
        <v>25</v>
      </c>
      <c r="J2084" s="3" t="s">
        <v>5800</v>
      </c>
      <c r="K2084" s="17" t="str">
        <f>HYPERLINK("http://ictvonline.org/taxonomyHistory.asp?taxnode_id=20172224","ICTVonline=20172224")</f>
        <v>ICTVonline=20172224</v>
      </c>
      <c r="L2084" s="3">
        <v>2083</v>
      </c>
    </row>
    <row r="2085" spans="1:12" x14ac:dyDescent="0.15">
      <c r="A2085" s="1" t="s">
        <v>1177</v>
      </c>
      <c r="B2085" s="1" t="s">
        <v>299</v>
      </c>
      <c r="D2085" s="1" t="s">
        <v>1227</v>
      </c>
      <c r="E2085" s="1" t="s">
        <v>5811</v>
      </c>
      <c r="F2085" s="3">
        <v>0</v>
      </c>
      <c r="G2085" s="8" t="s">
        <v>2773</v>
      </c>
      <c r="H2085" s="8" t="s">
        <v>5159</v>
      </c>
      <c r="I2085" s="3">
        <v>32</v>
      </c>
      <c r="J2085" s="3" t="s">
        <v>5798</v>
      </c>
      <c r="K2085" s="17" t="str">
        <f>HYPERLINK("http://ictvonline.org/taxonomyHistory.asp?taxnode_id=20175636","ICTVonline=20175636")</f>
        <v>ICTVonline=20175636</v>
      </c>
      <c r="L2085" s="3">
        <v>2084</v>
      </c>
    </row>
    <row r="2086" spans="1:12" x14ac:dyDescent="0.15">
      <c r="A2086" s="1" t="s">
        <v>1177</v>
      </c>
      <c r="B2086" s="1" t="s">
        <v>299</v>
      </c>
      <c r="D2086" s="1" t="s">
        <v>1227</v>
      </c>
      <c r="E2086" s="1" t="s">
        <v>1467</v>
      </c>
      <c r="F2086" s="3">
        <v>0</v>
      </c>
      <c r="G2086" s="8" t="s">
        <v>2773</v>
      </c>
      <c r="H2086" s="8" t="s">
        <v>5161</v>
      </c>
      <c r="I2086" s="3">
        <v>25</v>
      </c>
      <c r="J2086" s="3" t="s">
        <v>5800</v>
      </c>
      <c r="K2086" s="17" t="str">
        <f>HYPERLINK("http://ictvonline.org/taxonomyHistory.asp?taxnode_id=20172225","ICTVonline=20172225")</f>
        <v>ICTVonline=20172225</v>
      </c>
      <c r="L2086" s="3">
        <v>2085</v>
      </c>
    </row>
    <row r="2087" spans="1:12" x14ac:dyDescent="0.15">
      <c r="A2087" s="1" t="s">
        <v>1177</v>
      </c>
      <c r="B2087" s="1" t="s">
        <v>299</v>
      </c>
      <c r="D2087" s="1" t="s">
        <v>1227</v>
      </c>
      <c r="E2087" s="1" t="s">
        <v>3792</v>
      </c>
      <c r="F2087" s="3">
        <v>0</v>
      </c>
      <c r="G2087" s="8" t="s">
        <v>2773</v>
      </c>
      <c r="H2087" s="8" t="s">
        <v>5159</v>
      </c>
      <c r="I2087" s="3">
        <v>30</v>
      </c>
      <c r="J2087" s="3" t="s">
        <v>5812</v>
      </c>
      <c r="K2087" s="17" t="str">
        <f>HYPERLINK("http://ictvonline.org/taxonomyHistory.asp?taxnode_id=20172226","ICTVonline=20172226")</f>
        <v>ICTVonline=20172226</v>
      </c>
      <c r="L2087" s="3">
        <v>2086</v>
      </c>
    </row>
    <row r="2088" spans="1:12" x14ac:dyDescent="0.15">
      <c r="A2088" s="1" t="s">
        <v>1177</v>
      </c>
      <c r="B2088" s="1" t="s">
        <v>299</v>
      </c>
      <c r="D2088" s="1" t="s">
        <v>1227</v>
      </c>
      <c r="E2088" s="1" t="s">
        <v>1468</v>
      </c>
      <c r="F2088" s="3">
        <v>0</v>
      </c>
      <c r="G2088" s="8" t="s">
        <v>2773</v>
      </c>
      <c r="H2088" s="8" t="s">
        <v>5161</v>
      </c>
      <c r="I2088" s="3">
        <v>25</v>
      </c>
      <c r="J2088" s="3" t="s">
        <v>5800</v>
      </c>
      <c r="K2088" s="17" t="str">
        <f>HYPERLINK("http://ictvonline.org/taxonomyHistory.asp?taxnode_id=20172227","ICTVonline=20172227")</f>
        <v>ICTVonline=20172227</v>
      </c>
      <c r="L2088" s="3">
        <v>2087</v>
      </c>
    </row>
    <row r="2089" spans="1:12" x14ac:dyDescent="0.15">
      <c r="A2089" s="1" t="s">
        <v>1177</v>
      </c>
      <c r="B2089" s="1" t="s">
        <v>299</v>
      </c>
      <c r="D2089" s="1" t="s">
        <v>1705</v>
      </c>
      <c r="E2089" s="1" t="s">
        <v>1527</v>
      </c>
      <c r="F2089" s="3">
        <v>1</v>
      </c>
      <c r="G2089" s="8" t="s">
        <v>2773</v>
      </c>
      <c r="H2089" s="8" t="s">
        <v>5164</v>
      </c>
      <c r="I2089" s="3">
        <v>25</v>
      </c>
      <c r="J2089" s="3" t="s">
        <v>5813</v>
      </c>
      <c r="K2089" s="17" t="str">
        <f>HYPERLINK("http://ictvonline.org/taxonomyHistory.asp?taxnode_id=20172229","ICTVonline=20172229")</f>
        <v>ICTVonline=20172229</v>
      </c>
      <c r="L2089" s="3">
        <v>2088</v>
      </c>
    </row>
    <row r="2090" spans="1:12" x14ac:dyDescent="0.15">
      <c r="A2090" s="1" t="s">
        <v>1177</v>
      </c>
      <c r="B2090" s="1" t="s">
        <v>1178</v>
      </c>
      <c r="C2090" s="1" t="s">
        <v>3793</v>
      </c>
      <c r="D2090" s="1" t="s">
        <v>422</v>
      </c>
      <c r="E2090" s="1" t="s">
        <v>423</v>
      </c>
      <c r="F2090" s="3">
        <v>0</v>
      </c>
      <c r="G2090" s="8" t="s">
        <v>2773</v>
      </c>
      <c r="H2090" s="8" t="s">
        <v>5161</v>
      </c>
      <c r="I2090" s="3">
        <v>30</v>
      </c>
      <c r="J2090" s="3" t="s">
        <v>5814</v>
      </c>
      <c r="K2090" s="17" t="str">
        <f>HYPERLINK("http://ictvonline.org/taxonomyHistory.asp?taxnode_id=20172235","ICTVonline=20172235")</f>
        <v>ICTVonline=20172235</v>
      </c>
      <c r="L2090" s="3">
        <v>2089</v>
      </c>
    </row>
    <row r="2091" spans="1:12" x14ac:dyDescent="0.15">
      <c r="A2091" s="1" t="s">
        <v>1177</v>
      </c>
      <c r="B2091" s="1" t="s">
        <v>1178</v>
      </c>
      <c r="C2091" s="1" t="s">
        <v>3793</v>
      </c>
      <c r="D2091" s="1" t="s">
        <v>422</v>
      </c>
      <c r="E2091" s="1" t="s">
        <v>424</v>
      </c>
      <c r="F2091" s="3">
        <v>0</v>
      </c>
      <c r="G2091" s="8" t="s">
        <v>2773</v>
      </c>
      <c r="H2091" s="8" t="s">
        <v>5161</v>
      </c>
      <c r="I2091" s="3">
        <v>30</v>
      </c>
      <c r="J2091" s="3" t="s">
        <v>5814</v>
      </c>
      <c r="K2091" s="17" t="str">
        <f>HYPERLINK("http://ictvonline.org/taxonomyHistory.asp?taxnode_id=20172236","ICTVonline=20172236")</f>
        <v>ICTVonline=20172236</v>
      </c>
      <c r="L2091" s="3">
        <v>2090</v>
      </c>
    </row>
    <row r="2092" spans="1:12" x14ac:dyDescent="0.15">
      <c r="A2092" s="1" t="s">
        <v>1177</v>
      </c>
      <c r="B2092" s="1" t="s">
        <v>1178</v>
      </c>
      <c r="C2092" s="1" t="s">
        <v>3793</v>
      </c>
      <c r="D2092" s="1" t="s">
        <v>422</v>
      </c>
      <c r="E2092" s="1" t="s">
        <v>5815</v>
      </c>
      <c r="F2092" s="3">
        <v>0</v>
      </c>
      <c r="G2092" s="8" t="s">
        <v>2773</v>
      </c>
      <c r="H2092" s="8" t="s">
        <v>5159</v>
      </c>
      <c r="I2092" s="3">
        <v>32</v>
      </c>
      <c r="J2092" s="3" t="s">
        <v>5798</v>
      </c>
      <c r="K2092" s="17" t="str">
        <f>HYPERLINK("http://ictvonline.org/taxonomyHistory.asp?taxnode_id=20175637","ICTVonline=20175637")</f>
        <v>ICTVonline=20175637</v>
      </c>
      <c r="L2092" s="3">
        <v>2091</v>
      </c>
    </row>
    <row r="2093" spans="1:12" x14ac:dyDescent="0.15">
      <c r="A2093" s="1" t="s">
        <v>1177</v>
      </c>
      <c r="B2093" s="1" t="s">
        <v>1178</v>
      </c>
      <c r="C2093" s="1" t="s">
        <v>3793</v>
      </c>
      <c r="D2093" s="1" t="s">
        <v>422</v>
      </c>
      <c r="E2093" s="1" t="s">
        <v>425</v>
      </c>
      <c r="F2093" s="3">
        <v>0</v>
      </c>
      <c r="G2093" s="8" t="s">
        <v>2773</v>
      </c>
      <c r="H2093" s="8" t="s">
        <v>5161</v>
      </c>
      <c r="I2093" s="3">
        <v>30</v>
      </c>
      <c r="J2093" s="3" t="s">
        <v>5814</v>
      </c>
      <c r="K2093" s="17" t="str">
        <f>HYPERLINK("http://ictvonline.org/taxonomyHistory.asp?taxnode_id=20172237","ICTVonline=20172237")</f>
        <v>ICTVonline=20172237</v>
      </c>
      <c r="L2093" s="3">
        <v>2092</v>
      </c>
    </row>
    <row r="2094" spans="1:12" x14ac:dyDescent="0.15">
      <c r="A2094" s="1" t="s">
        <v>1177</v>
      </c>
      <c r="B2094" s="1" t="s">
        <v>1178</v>
      </c>
      <c r="C2094" s="1" t="s">
        <v>3793</v>
      </c>
      <c r="D2094" s="1" t="s">
        <v>422</v>
      </c>
      <c r="E2094" s="1" t="s">
        <v>2219</v>
      </c>
      <c r="F2094" s="3">
        <v>0</v>
      </c>
      <c r="G2094" s="8" t="s">
        <v>2773</v>
      </c>
      <c r="H2094" s="8" t="s">
        <v>5161</v>
      </c>
      <c r="I2094" s="3">
        <v>30</v>
      </c>
      <c r="J2094" s="3" t="s">
        <v>5814</v>
      </c>
      <c r="K2094" s="17" t="str">
        <f>HYPERLINK("http://ictvonline.org/taxonomyHistory.asp?taxnode_id=20172238","ICTVonline=20172238")</f>
        <v>ICTVonline=20172238</v>
      </c>
      <c r="L2094" s="3">
        <v>2093</v>
      </c>
    </row>
    <row r="2095" spans="1:12" x14ac:dyDescent="0.15">
      <c r="A2095" s="1" t="s">
        <v>1177</v>
      </c>
      <c r="B2095" s="1" t="s">
        <v>1178</v>
      </c>
      <c r="C2095" s="1" t="s">
        <v>3793</v>
      </c>
      <c r="D2095" s="1" t="s">
        <v>422</v>
      </c>
      <c r="E2095" s="1" t="s">
        <v>426</v>
      </c>
      <c r="F2095" s="3">
        <v>0</v>
      </c>
      <c r="G2095" s="8" t="s">
        <v>2773</v>
      </c>
      <c r="H2095" s="8" t="s">
        <v>5161</v>
      </c>
      <c r="I2095" s="3">
        <v>30</v>
      </c>
      <c r="J2095" s="3" t="s">
        <v>5814</v>
      </c>
      <c r="K2095" s="17" t="str">
        <f>HYPERLINK("http://ictvonline.org/taxonomyHistory.asp?taxnode_id=20172239","ICTVonline=20172239")</f>
        <v>ICTVonline=20172239</v>
      </c>
      <c r="L2095" s="3">
        <v>2094</v>
      </c>
    </row>
    <row r="2096" spans="1:12" x14ac:dyDescent="0.15">
      <c r="A2096" s="1" t="s">
        <v>1177</v>
      </c>
      <c r="B2096" s="1" t="s">
        <v>1178</v>
      </c>
      <c r="C2096" s="1" t="s">
        <v>3793</v>
      </c>
      <c r="D2096" s="1" t="s">
        <v>422</v>
      </c>
      <c r="E2096" s="1" t="s">
        <v>427</v>
      </c>
      <c r="F2096" s="3">
        <v>0</v>
      </c>
      <c r="G2096" s="8" t="s">
        <v>2773</v>
      </c>
      <c r="H2096" s="8" t="s">
        <v>5161</v>
      </c>
      <c r="I2096" s="3">
        <v>30</v>
      </c>
      <c r="J2096" s="3" t="s">
        <v>5814</v>
      </c>
      <c r="K2096" s="17" t="str">
        <f>HYPERLINK("http://ictvonline.org/taxonomyHistory.asp?taxnode_id=20172240","ICTVonline=20172240")</f>
        <v>ICTVonline=20172240</v>
      </c>
      <c r="L2096" s="3">
        <v>2095</v>
      </c>
    </row>
    <row r="2097" spans="1:12" x14ac:dyDescent="0.15">
      <c r="A2097" s="1" t="s">
        <v>1177</v>
      </c>
      <c r="B2097" s="1" t="s">
        <v>1178</v>
      </c>
      <c r="C2097" s="1" t="s">
        <v>3793</v>
      </c>
      <c r="D2097" s="1" t="s">
        <v>422</v>
      </c>
      <c r="E2097" s="1" t="s">
        <v>296</v>
      </c>
      <c r="F2097" s="3">
        <v>1</v>
      </c>
      <c r="G2097" s="8" t="s">
        <v>2773</v>
      </c>
      <c r="H2097" s="8" t="s">
        <v>5161</v>
      </c>
      <c r="I2097" s="3">
        <v>30</v>
      </c>
      <c r="J2097" s="3" t="s">
        <v>5814</v>
      </c>
      <c r="K2097" s="17" t="str">
        <f>HYPERLINK("http://ictvonline.org/taxonomyHistory.asp?taxnode_id=20172241","ICTVonline=20172241")</f>
        <v>ICTVonline=20172241</v>
      </c>
      <c r="L2097" s="3">
        <v>2096</v>
      </c>
    </row>
    <row r="2098" spans="1:12" x14ac:dyDescent="0.15">
      <c r="A2098" s="1" t="s">
        <v>1177</v>
      </c>
      <c r="B2098" s="1" t="s">
        <v>1178</v>
      </c>
      <c r="C2098" s="1" t="s">
        <v>3793</v>
      </c>
      <c r="D2098" s="1" t="s">
        <v>422</v>
      </c>
      <c r="E2098" s="1" t="s">
        <v>2056</v>
      </c>
      <c r="F2098" s="3">
        <v>0</v>
      </c>
      <c r="G2098" s="8" t="s">
        <v>2773</v>
      </c>
      <c r="H2098" s="8" t="s">
        <v>5161</v>
      </c>
      <c r="I2098" s="3">
        <v>30</v>
      </c>
      <c r="J2098" s="3" t="s">
        <v>5814</v>
      </c>
      <c r="K2098" s="17" t="str">
        <f>HYPERLINK("http://ictvonline.org/taxonomyHistory.asp?taxnode_id=20172242","ICTVonline=20172242")</f>
        <v>ICTVonline=20172242</v>
      </c>
      <c r="L2098" s="3">
        <v>2097</v>
      </c>
    </row>
    <row r="2099" spans="1:12" x14ac:dyDescent="0.15">
      <c r="A2099" s="1" t="s">
        <v>1177</v>
      </c>
      <c r="B2099" s="1" t="s">
        <v>1178</v>
      </c>
      <c r="C2099" s="1" t="s">
        <v>3793</v>
      </c>
      <c r="D2099" s="1" t="s">
        <v>422</v>
      </c>
      <c r="E2099" s="1" t="s">
        <v>2057</v>
      </c>
      <c r="F2099" s="3">
        <v>0</v>
      </c>
      <c r="G2099" s="8" t="s">
        <v>2773</v>
      </c>
      <c r="H2099" s="8" t="s">
        <v>5161</v>
      </c>
      <c r="I2099" s="3">
        <v>30</v>
      </c>
      <c r="J2099" s="3" t="s">
        <v>5814</v>
      </c>
      <c r="K2099" s="17" t="str">
        <f>HYPERLINK("http://ictvonline.org/taxonomyHistory.asp?taxnode_id=20172243","ICTVonline=20172243")</f>
        <v>ICTVonline=20172243</v>
      </c>
      <c r="L2099" s="3">
        <v>2098</v>
      </c>
    </row>
    <row r="2100" spans="1:12" x14ac:dyDescent="0.15">
      <c r="A2100" s="1" t="s">
        <v>1177</v>
      </c>
      <c r="B2100" s="1" t="s">
        <v>1178</v>
      </c>
      <c r="C2100" s="1" t="s">
        <v>3793</v>
      </c>
      <c r="D2100" s="1" t="s">
        <v>422</v>
      </c>
      <c r="E2100" s="1" t="s">
        <v>2136</v>
      </c>
      <c r="F2100" s="3">
        <v>0</v>
      </c>
      <c r="G2100" s="8" t="s">
        <v>2773</v>
      </c>
      <c r="H2100" s="8" t="s">
        <v>5161</v>
      </c>
      <c r="I2100" s="3">
        <v>30</v>
      </c>
      <c r="J2100" s="3" t="s">
        <v>5814</v>
      </c>
      <c r="K2100" s="17" t="str">
        <f>HYPERLINK("http://ictvonline.org/taxonomyHistory.asp?taxnode_id=20172244","ICTVonline=20172244")</f>
        <v>ICTVonline=20172244</v>
      </c>
      <c r="L2100" s="3">
        <v>2099</v>
      </c>
    </row>
    <row r="2101" spans="1:12" x14ac:dyDescent="0.15">
      <c r="A2101" s="1" t="s">
        <v>1177</v>
      </c>
      <c r="B2101" s="1" t="s">
        <v>1178</v>
      </c>
      <c r="C2101" s="1" t="s">
        <v>3793</v>
      </c>
      <c r="D2101" s="1" t="s">
        <v>422</v>
      </c>
      <c r="E2101" s="1" t="s">
        <v>1963</v>
      </c>
      <c r="F2101" s="3">
        <v>0</v>
      </c>
      <c r="G2101" s="8" t="s">
        <v>2773</v>
      </c>
      <c r="H2101" s="8" t="s">
        <v>5161</v>
      </c>
      <c r="I2101" s="3">
        <v>30</v>
      </c>
      <c r="J2101" s="3" t="s">
        <v>5814</v>
      </c>
      <c r="K2101" s="17" t="str">
        <f>HYPERLINK("http://ictvonline.org/taxonomyHistory.asp?taxnode_id=20172245","ICTVonline=20172245")</f>
        <v>ICTVonline=20172245</v>
      </c>
      <c r="L2101" s="3">
        <v>2100</v>
      </c>
    </row>
    <row r="2102" spans="1:12" x14ac:dyDescent="0.15">
      <c r="A2102" s="1" t="s">
        <v>1177</v>
      </c>
      <c r="B2102" s="1" t="s">
        <v>1178</v>
      </c>
      <c r="C2102" s="1" t="s">
        <v>3793</v>
      </c>
      <c r="D2102" s="1" t="s">
        <v>422</v>
      </c>
      <c r="E2102" s="1" t="s">
        <v>2220</v>
      </c>
      <c r="F2102" s="3">
        <v>0</v>
      </c>
      <c r="G2102" s="8" t="s">
        <v>2773</v>
      </c>
      <c r="H2102" s="8" t="s">
        <v>5161</v>
      </c>
      <c r="I2102" s="3">
        <v>30</v>
      </c>
      <c r="J2102" s="3" t="s">
        <v>5814</v>
      </c>
      <c r="K2102" s="17" t="str">
        <f>HYPERLINK("http://ictvonline.org/taxonomyHistory.asp?taxnode_id=20172246","ICTVonline=20172246")</f>
        <v>ICTVonline=20172246</v>
      </c>
      <c r="L2102" s="3">
        <v>2101</v>
      </c>
    </row>
    <row r="2103" spans="1:12" x14ac:dyDescent="0.15">
      <c r="A2103" s="1" t="s">
        <v>1177</v>
      </c>
      <c r="B2103" s="1" t="s">
        <v>1178</v>
      </c>
      <c r="C2103" s="1" t="s">
        <v>3793</v>
      </c>
      <c r="D2103" s="1" t="s">
        <v>422</v>
      </c>
      <c r="E2103" s="1" t="s">
        <v>1964</v>
      </c>
      <c r="F2103" s="3">
        <v>0</v>
      </c>
      <c r="G2103" s="8" t="s">
        <v>2773</v>
      </c>
      <c r="H2103" s="8" t="s">
        <v>5161</v>
      </c>
      <c r="I2103" s="3">
        <v>30</v>
      </c>
      <c r="J2103" s="3" t="s">
        <v>5814</v>
      </c>
      <c r="K2103" s="17" t="str">
        <f>HYPERLINK("http://ictvonline.org/taxonomyHistory.asp?taxnode_id=20172247","ICTVonline=20172247")</f>
        <v>ICTVonline=20172247</v>
      </c>
      <c r="L2103" s="3">
        <v>2102</v>
      </c>
    </row>
    <row r="2104" spans="1:12" x14ac:dyDescent="0.15">
      <c r="A2104" s="1" t="s">
        <v>1177</v>
      </c>
      <c r="B2104" s="1" t="s">
        <v>1178</v>
      </c>
      <c r="C2104" s="1" t="s">
        <v>3793</v>
      </c>
      <c r="D2104" s="1" t="s">
        <v>422</v>
      </c>
      <c r="E2104" s="1" t="s">
        <v>3794</v>
      </c>
      <c r="F2104" s="3">
        <v>0</v>
      </c>
      <c r="G2104" s="8" t="s">
        <v>2773</v>
      </c>
      <c r="H2104" s="8" t="s">
        <v>5159</v>
      </c>
      <c r="I2104" s="3">
        <v>30</v>
      </c>
      <c r="J2104" s="3" t="s">
        <v>5814</v>
      </c>
      <c r="K2104" s="17" t="str">
        <f>HYPERLINK("http://ictvonline.org/taxonomyHistory.asp?taxnode_id=20172248","ICTVonline=20172248")</f>
        <v>ICTVonline=20172248</v>
      </c>
      <c r="L2104" s="3">
        <v>2103</v>
      </c>
    </row>
    <row r="2105" spans="1:12" x14ac:dyDescent="0.15">
      <c r="A2105" s="1" t="s">
        <v>1177</v>
      </c>
      <c r="B2105" s="1" t="s">
        <v>1178</v>
      </c>
      <c r="C2105" s="1" t="s">
        <v>3793</v>
      </c>
      <c r="D2105" s="1" t="s">
        <v>422</v>
      </c>
      <c r="E2105" s="1" t="s">
        <v>1630</v>
      </c>
      <c r="F2105" s="3">
        <v>0</v>
      </c>
      <c r="G2105" s="8" t="s">
        <v>2773</v>
      </c>
      <c r="H2105" s="8" t="s">
        <v>5161</v>
      </c>
      <c r="I2105" s="3">
        <v>30</v>
      </c>
      <c r="J2105" s="3" t="s">
        <v>5814</v>
      </c>
      <c r="K2105" s="17" t="str">
        <f>HYPERLINK("http://ictvonline.org/taxonomyHistory.asp?taxnode_id=20172249","ICTVonline=20172249")</f>
        <v>ICTVonline=20172249</v>
      </c>
      <c r="L2105" s="3">
        <v>2104</v>
      </c>
    </row>
    <row r="2106" spans="1:12" x14ac:dyDescent="0.15">
      <c r="A2106" s="1" t="s">
        <v>1177</v>
      </c>
      <c r="B2106" s="1" t="s">
        <v>1178</v>
      </c>
      <c r="C2106" s="1" t="s">
        <v>3793</v>
      </c>
      <c r="D2106" s="1" t="s">
        <v>422</v>
      </c>
      <c r="E2106" s="1" t="s">
        <v>1631</v>
      </c>
      <c r="F2106" s="3">
        <v>0</v>
      </c>
      <c r="G2106" s="8" t="s">
        <v>2773</v>
      </c>
      <c r="H2106" s="8" t="s">
        <v>5161</v>
      </c>
      <c r="I2106" s="3">
        <v>30</v>
      </c>
      <c r="J2106" s="3" t="s">
        <v>5814</v>
      </c>
      <c r="K2106" s="17" t="str">
        <f>HYPERLINK("http://ictvonline.org/taxonomyHistory.asp?taxnode_id=20172250","ICTVonline=20172250")</f>
        <v>ICTVonline=20172250</v>
      </c>
      <c r="L2106" s="3">
        <v>2105</v>
      </c>
    </row>
    <row r="2107" spans="1:12" x14ac:dyDescent="0.15">
      <c r="A2107" s="1" t="s">
        <v>1177</v>
      </c>
      <c r="B2107" s="1" t="s">
        <v>1178</v>
      </c>
      <c r="C2107" s="1" t="s">
        <v>3793</v>
      </c>
      <c r="D2107" s="1" t="s">
        <v>422</v>
      </c>
      <c r="E2107" s="1" t="s">
        <v>2221</v>
      </c>
      <c r="F2107" s="3">
        <v>0</v>
      </c>
      <c r="G2107" s="8" t="s">
        <v>2773</v>
      </c>
      <c r="H2107" s="8" t="s">
        <v>5161</v>
      </c>
      <c r="I2107" s="3">
        <v>30</v>
      </c>
      <c r="J2107" s="3" t="s">
        <v>5814</v>
      </c>
      <c r="K2107" s="17" t="str">
        <f>HYPERLINK("http://ictvonline.org/taxonomyHistory.asp?taxnode_id=20172251","ICTVonline=20172251")</f>
        <v>ICTVonline=20172251</v>
      </c>
      <c r="L2107" s="3">
        <v>2106</v>
      </c>
    </row>
    <row r="2108" spans="1:12" x14ac:dyDescent="0.15">
      <c r="A2108" s="1" t="s">
        <v>1177</v>
      </c>
      <c r="B2108" s="1" t="s">
        <v>1178</v>
      </c>
      <c r="C2108" s="1" t="s">
        <v>3793</v>
      </c>
      <c r="D2108" s="1" t="s">
        <v>422</v>
      </c>
      <c r="E2108" s="1" t="s">
        <v>1900</v>
      </c>
      <c r="F2108" s="3">
        <v>0</v>
      </c>
      <c r="G2108" s="8" t="s">
        <v>2773</v>
      </c>
      <c r="H2108" s="8" t="s">
        <v>5161</v>
      </c>
      <c r="I2108" s="3">
        <v>30</v>
      </c>
      <c r="J2108" s="3" t="s">
        <v>5814</v>
      </c>
      <c r="K2108" s="17" t="str">
        <f>HYPERLINK("http://ictvonline.org/taxonomyHistory.asp?taxnode_id=20172252","ICTVonline=20172252")</f>
        <v>ICTVonline=20172252</v>
      </c>
      <c r="L2108" s="3">
        <v>2107</v>
      </c>
    </row>
    <row r="2109" spans="1:12" x14ac:dyDescent="0.15">
      <c r="A2109" s="1" t="s">
        <v>1177</v>
      </c>
      <c r="B2109" s="1" t="s">
        <v>1178</v>
      </c>
      <c r="C2109" s="1" t="s">
        <v>3793</v>
      </c>
      <c r="D2109" s="1" t="s">
        <v>422</v>
      </c>
      <c r="E2109" s="1" t="s">
        <v>2222</v>
      </c>
      <c r="F2109" s="3">
        <v>0</v>
      </c>
      <c r="G2109" s="8" t="s">
        <v>2773</v>
      </c>
      <c r="H2109" s="8" t="s">
        <v>5161</v>
      </c>
      <c r="I2109" s="3">
        <v>30</v>
      </c>
      <c r="J2109" s="3" t="s">
        <v>5814</v>
      </c>
      <c r="K2109" s="17" t="str">
        <f>HYPERLINK("http://ictvonline.org/taxonomyHistory.asp?taxnode_id=20172253","ICTVonline=20172253")</f>
        <v>ICTVonline=20172253</v>
      </c>
      <c r="L2109" s="3">
        <v>2108</v>
      </c>
    </row>
    <row r="2110" spans="1:12" x14ac:dyDescent="0.15">
      <c r="A2110" s="1" t="s">
        <v>1177</v>
      </c>
      <c r="B2110" s="1" t="s">
        <v>1178</v>
      </c>
      <c r="C2110" s="1" t="s">
        <v>3793</v>
      </c>
      <c r="D2110" s="1" t="s">
        <v>422</v>
      </c>
      <c r="E2110" s="1" t="s">
        <v>1632</v>
      </c>
      <c r="F2110" s="3">
        <v>0</v>
      </c>
      <c r="G2110" s="8" t="s">
        <v>2773</v>
      </c>
      <c r="H2110" s="8" t="s">
        <v>5161</v>
      </c>
      <c r="I2110" s="3">
        <v>30</v>
      </c>
      <c r="J2110" s="3" t="s">
        <v>5814</v>
      </c>
      <c r="K2110" s="17" t="str">
        <f>HYPERLINK("http://ictvonline.org/taxonomyHistory.asp?taxnode_id=20172254","ICTVonline=20172254")</f>
        <v>ICTVonline=20172254</v>
      </c>
      <c r="L2110" s="3">
        <v>2109</v>
      </c>
    </row>
    <row r="2111" spans="1:12" x14ac:dyDescent="0.15">
      <c r="A2111" s="1" t="s">
        <v>1177</v>
      </c>
      <c r="B2111" s="1" t="s">
        <v>1178</v>
      </c>
      <c r="C2111" s="1" t="s">
        <v>3793</v>
      </c>
      <c r="D2111" s="1" t="s">
        <v>422</v>
      </c>
      <c r="E2111" s="1" t="s">
        <v>1633</v>
      </c>
      <c r="F2111" s="3">
        <v>0</v>
      </c>
      <c r="G2111" s="8" t="s">
        <v>2773</v>
      </c>
      <c r="H2111" s="8" t="s">
        <v>5161</v>
      </c>
      <c r="I2111" s="3">
        <v>30</v>
      </c>
      <c r="J2111" s="3" t="s">
        <v>5814</v>
      </c>
      <c r="K2111" s="17" t="str">
        <f>HYPERLINK("http://ictvonline.org/taxonomyHistory.asp?taxnode_id=20172255","ICTVonline=20172255")</f>
        <v>ICTVonline=20172255</v>
      </c>
      <c r="L2111" s="3">
        <v>2110</v>
      </c>
    </row>
    <row r="2112" spans="1:12" x14ac:dyDescent="0.15">
      <c r="A2112" s="1" t="s">
        <v>1177</v>
      </c>
      <c r="B2112" s="1" t="s">
        <v>1178</v>
      </c>
      <c r="C2112" s="1" t="s">
        <v>3793</v>
      </c>
      <c r="D2112" s="1" t="s">
        <v>422</v>
      </c>
      <c r="E2112" s="1" t="s">
        <v>2223</v>
      </c>
      <c r="F2112" s="3">
        <v>0</v>
      </c>
      <c r="G2112" s="8" t="s">
        <v>2773</v>
      </c>
      <c r="H2112" s="8" t="s">
        <v>5161</v>
      </c>
      <c r="I2112" s="3">
        <v>30</v>
      </c>
      <c r="J2112" s="3" t="s">
        <v>5814</v>
      </c>
      <c r="K2112" s="17" t="str">
        <f>HYPERLINK("http://ictvonline.org/taxonomyHistory.asp?taxnode_id=20172256","ICTVonline=20172256")</f>
        <v>ICTVonline=20172256</v>
      </c>
      <c r="L2112" s="3">
        <v>2111</v>
      </c>
    </row>
    <row r="2113" spans="1:12" x14ac:dyDescent="0.15">
      <c r="A2113" s="1" t="s">
        <v>1177</v>
      </c>
      <c r="B2113" s="1" t="s">
        <v>1178</v>
      </c>
      <c r="C2113" s="1" t="s">
        <v>3793</v>
      </c>
      <c r="D2113" s="1" t="s">
        <v>422</v>
      </c>
      <c r="E2113" s="1" t="s">
        <v>5816</v>
      </c>
      <c r="F2113" s="3">
        <v>0</v>
      </c>
      <c r="G2113" s="8" t="s">
        <v>2773</v>
      </c>
      <c r="H2113" s="8" t="s">
        <v>5162</v>
      </c>
      <c r="I2113" s="3">
        <v>32</v>
      </c>
      <c r="J2113" s="3" t="s">
        <v>5564</v>
      </c>
      <c r="K2113" s="17" t="str">
        <f>HYPERLINK("http://ictvonline.org/taxonomyHistory.asp?taxnode_id=20172257","ICTVonline=20172257")</f>
        <v>ICTVonline=20172257</v>
      </c>
      <c r="L2113" s="3">
        <v>2112</v>
      </c>
    </row>
    <row r="2114" spans="1:12" x14ac:dyDescent="0.15">
      <c r="A2114" s="1" t="s">
        <v>1177</v>
      </c>
      <c r="B2114" s="1" t="s">
        <v>1178</v>
      </c>
      <c r="C2114" s="1" t="s">
        <v>3793</v>
      </c>
      <c r="D2114" s="1" t="s">
        <v>422</v>
      </c>
      <c r="E2114" s="1" t="s">
        <v>2137</v>
      </c>
      <c r="F2114" s="3">
        <v>0</v>
      </c>
      <c r="G2114" s="8" t="s">
        <v>2773</v>
      </c>
      <c r="H2114" s="8" t="s">
        <v>5161</v>
      </c>
      <c r="I2114" s="3">
        <v>30</v>
      </c>
      <c r="J2114" s="3" t="s">
        <v>5814</v>
      </c>
      <c r="K2114" s="17" t="str">
        <f>HYPERLINK("http://ictvonline.org/taxonomyHistory.asp?taxnode_id=20172258","ICTVonline=20172258")</f>
        <v>ICTVonline=20172258</v>
      </c>
      <c r="L2114" s="3">
        <v>2113</v>
      </c>
    </row>
    <row r="2115" spans="1:12" x14ac:dyDescent="0.15">
      <c r="A2115" s="1" t="s">
        <v>1177</v>
      </c>
      <c r="B2115" s="1" t="s">
        <v>1178</v>
      </c>
      <c r="C2115" s="1" t="s">
        <v>3793</v>
      </c>
      <c r="D2115" s="1" t="s">
        <v>422</v>
      </c>
      <c r="E2115" s="1" t="s">
        <v>5817</v>
      </c>
      <c r="F2115" s="3">
        <v>0</v>
      </c>
      <c r="G2115" s="8" t="s">
        <v>2773</v>
      </c>
      <c r="H2115" s="8" t="s">
        <v>5159</v>
      </c>
      <c r="I2115" s="3">
        <v>32</v>
      </c>
      <c r="J2115" s="3" t="s">
        <v>5798</v>
      </c>
      <c r="K2115" s="17" t="str">
        <f>HYPERLINK("http://ictvonline.org/taxonomyHistory.asp?taxnode_id=20175638","ICTVonline=20175638")</f>
        <v>ICTVonline=20175638</v>
      </c>
      <c r="L2115" s="3">
        <v>2114</v>
      </c>
    </row>
    <row r="2116" spans="1:12" x14ac:dyDescent="0.15">
      <c r="A2116" s="1" t="s">
        <v>1177</v>
      </c>
      <c r="B2116" s="1" t="s">
        <v>1178</v>
      </c>
      <c r="C2116" s="1" t="s">
        <v>3793</v>
      </c>
      <c r="D2116" s="1" t="s">
        <v>422</v>
      </c>
      <c r="E2116" s="1" t="s">
        <v>2058</v>
      </c>
      <c r="F2116" s="3">
        <v>0</v>
      </c>
      <c r="G2116" s="8" t="s">
        <v>2773</v>
      </c>
      <c r="H2116" s="8" t="s">
        <v>5161</v>
      </c>
      <c r="I2116" s="3">
        <v>30</v>
      </c>
      <c r="J2116" s="3" t="s">
        <v>5814</v>
      </c>
      <c r="K2116" s="17" t="str">
        <f>HYPERLINK("http://ictvonline.org/taxonomyHistory.asp?taxnode_id=20172259","ICTVonline=20172259")</f>
        <v>ICTVonline=20172259</v>
      </c>
      <c r="L2116" s="3">
        <v>2115</v>
      </c>
    </row>
    <row r="2117" spans="1:12" x14ac:dyDescent="0.15">
      <c r="A2117" s="1" t="s">
        <v>1177</v>
      </c>
      <c r="B2117" s="1" t="s">
        <v>1178</v>
      </c>
      <c r="C2117" s="1" t="s">
        <v>3793</v>
      </c>
      <c r="D2117" s="1" t="s">
        <v>422</v>
      </c>
      <c r="E2117" s="1" t="s">
        <v>2059</v>
      </c>
      <c r="F2117" s="3">
        <v>0</v>
      </c>
      <c r="G2117" s="8" t="s">
        <v>2773</v>
      </c>
      <c r="H2117" s="8" t="s">
        <v>5161</v>
      </c>
      <c r="I2117" s="3">
        <v>30</v>
      </c>
      <c r="J2117" s="3" t="s">
        <v>5814</v>
      </c>
      <c r="K2117" s="17" t="str">
        <f>HYPERLINK("http://ictvonline.org/taxonomyHistory.asp?taxnode_id=20172260","ICTVonline=20172260")</f>
        <v>ICTVonline=20172260</v>
      </c>
      <c r="L2117" s="3">
        <v>2116</v>
      </c>
    </row>
    <row r="2118" spans="1:12" x14ac:dyDescent="0.15">
      <c r="A2118" s="1" t="s">
        <v>1177</v>
      </c>
      <c r="B2118" s="1" t="s">
        <v>1178</v>
      </c>
      <c r="C2118" s="1" t="s">
        <v>3793</v>
      </c>
      <c r="D2118" s="1" t="s">
        <v>422</v>
      </c>
      <c r="E2118" s="1" t="s">
        <v>2224</v>
      </c>
      <c r="F2118" s="3">
        <v>0</v>
      </c>
      <c r="G2118" s="8" t="s">
        <v>2773</v>
      </c>
      <c r="H2118" s="8" t="s">
        <v>5161</v>
      </c>
      <c r="I2118" s="3">
        <v>30</v>
      </c>
      <c r="J2118" s="3" t="s">
        <v>5814</v>
      </c>
      <c r="K2118" s="17" t="str">
        <f>HYPERLINK("http://ictvonline.org/taxonomyHistory.asp?taxnode_id=20172261","ICTVonline=20172261")</f>
        <v>ICTVonline=20172261</v>
      </c>
      <c r="L2118" s="3">
        <v>2117</v>
      </c>
    </row>
    <row r="2119" spans="1:12" x14ac:dyDescent="0.15">
      <c r="A2119" s="1" t="s">
        <v>1177</v>
      </c>
      <c r="B2119" s="1" t="s">
        <v>1178</v>
      </c>
      <c r="C2119" s="1" t="s">
        <v>3793</v>
      </c>
      <c r="D2119" s="1" t="s">
        <v>422</v>
      </c>
      <c r="E2119" s="1" t="s">
        <v>1965</v>
      </c>
      <c r="F2119" s="3">
        <v>0</v>
      </c>
      <c r="G2119" s="8" t="s">
        <v>2773</v>
      </c>
      <c r="H2119" s="8" t="s">
        <v>5161</v>
      </c>
      <c r="I2119" s="3">
        <v>30</v>
      </c>
      <c r="J2119" s="3" t="s">
        <v>5814</v>
      </c>
      <c r="K2119" s="17" t="str">
        <f>HYPERLINK("http://ictvonline.org/taxonomyHistory.asp?taxnode_id=20172262","ICTVonline=20172262")</f>
        <v>ICTVonline=20172262</v>
      </c>
      <c r="L2119" s="3">
        <v>2118</v>
      </c>
    </row>
    <row r="2120" spans="1:12" x14ac:dyDescent="0.15">
      <c r="A2120" s="1" t="s">
        <v>1177</v>
      </c>
      <c r="B2120" s="1" t="s">
        <v>1178</v>
      </c>
      <c r="C2120" s="1" t="s">
        <v>3793</v>
      </c>
      <c r="D2120" s="1" t="s">
        <v>422</v>
      </c>
      <c r="E2120" s="1" t="s">
        <v>1966</v>
      </c>
      <c r="F2120" s="3">
        <v>0</v>
      </c>
      <c r="G2120" s="8" t="s">
        <v>2773</v>
      </c>
      <c r="H2120" s="8" t="s">
        <v>5161</v>
      </c>
      <c r="I2120" s="3">
        <v>30</v>
      </c>
      <c r="J2120" s="3" t="s">
        <v>5814</v>
      </c>
      <c r="K2120" s="17" t="str">
        <f>HYPERLINK("http://ictvonline.org/taxonomyHistory.asp?taxnode_id=20172263","ICTVonline=20172263")</f>
        <v>ICTVonline=20172263</v>
      </c>
      <c r="L2120" s="3">
        <v>2119</v>
      </c>
    </row>
    <row r="2121" spans="1:12" x14ac:dyDescent="0.15">
      <c r="A2121" s="1" t="s">
        <v>1177</v>
      </c>
      <c r="B2121" s="1" t="s">
        <v>1178</v>
      </c>
      <c r="C2121" s="1" t="s">
        <v>3793</v>
      </c>
      <c r="D2121" s="1" t="s">
        <v>422</v>
      </c>
      <c r="E2121" s="1" t="s">
        <v>1967</v>
      </c>
      <c r="F2121" s="3">
        <v>0</v>
      </c>
      <c r="G2121" s="8" t="s">
        <v>2773</v>
      </c>
      <c r="H2121" s="8" t="s">
        <v>5161</v>
      </c>
      <c r="I2121" s="3">
        <v>30</v>
      </c>
      <c r="J2121" s="3" t="s">
        <v>5814</v>
      </c>
      <c r="K2121" s="17" t="str">
        <f>HYPERLINK("http://ictvonline.org/taxonomyHistory.asp?taxnode_id=20172264","ICTVonline=20172264")</f>
        <v>ICTVonline=20172264</v>
      </c>
      <c r="L2121" s="3">
        <v>2120</v>
      </c>
    </row>
    <row r="2122" spans="1:12" x14ac:dyDescent="0.15">
      <c r="A2122" s="1" t="s">
        <v>1177</v>
      </c>
      <c r="B2122" s="1" t="s">
        <v>1178</v>
      </c>
      <c r="C2122" s="1" t="s">
        <v>3793</v>
      </c>
      <c r="D2122" s="1" t="s">
        <v>422</v>
      </c>
      <c r="E2122" s="1" t="s">
        <v>1968</v>
      </c>
      <c r="F2122" s="3">
        <v>0</v>
      </c>
      <c r="G2122" s="8" t="s">
        <v>2773</v>
      </c>
      <c r="H2122" s="8" t="s">
        <v>5161</v>
      </c>
      <c r="I2122" s="3">
        <v>30</v>
      </c>
      <c r="J2122" s="3" t="s">
        <v>5814</v>
      </c>
      <c r="K2122" s="17" t="str">
        <f>HYPERLINK("http://ictvonline.org/taxonomyHistory.asp?taxnode_id=20172265","ICTVonline=20172265")</f>
        <v>ICTVonline=20172265</v>
      </c>
      <c r="L2122" s="3">
        <v>2121</v>
      </c>
    </row>
    <row r="2123" spans="1:12" x14ac:dyDescent="0.15">
      <c r="A2123" s="1" t="s">
        <v>1177</v>
      </c>
      <c r="B2123" s="1" t="s">
        <v>1178</v>
      </c>
      <c r="C2123" s="1" t="s">
        <v>3793</v>
      </c>
      <c r="D2123" s="1" t="s">
        <v>422</v>
      </c>
      <c r="E2123" s="1" t="s">
        <v>2225</v>
      </c>
      <c r="F2123" s="3">
        <v>0</v>
      </c>
      <c r="G2123" s="8" t="s">
        <v>2773</v>
      </c>
      <c r="H2123" s="8" t="s">
        <v>5161</v>
      </c>
      <c r="I2123" s="3">
        <v>30</v>
      </c>
      <c r="J2123" s="3" t="s">
        <v>5814</v>
      </c>
      <c r="K2123" s="17" t="str">
        <f>HYPERLINK("http://ictvonline.org/taxonomyHistory.asp?taxnode_id=20172266","ICTVonline=20172266")</f>
        <v>ICTVonline=20172266</v>
      </c>
      <c r="L2123" s="3">
        <v>2122</v>
      </c>
    </row>
    <row r="2124" spans="1:12" x14ac:dyDescent="0.15">
      <c r="A2124" s="1" t="s">
        <v>1177</v>
      </c>
      <c r="B2124" s="1" t="s">
        <v>1178</v>
      </c>
      <c r="C2124" s="1" t="s">
        <v>3793</v>
      </c>
      <c r="D2124" s="1" t="s">
        <v>422</v>
      </c>
      <c r="E2124" s="1" t="s">
        <v>2226</v>
      </c>
      <c r="F2124" s="3">
        <v>0</v>
      </c>
      <c r="G2124" s="8" t="s">
        <v>2773</v>
      </c>
      <c r="H2124" s="8" t="s">
        <v>5161</v>
      </c>
      <c r="I2124" s="3">
        <v>30</v>
      </c>
      <c r="J2124" s="3" t="s">
        <v>5814</v>
      </c>
      <c r="K2124" s="17" t="str">
        <f>HYPERLINK("http://ictvonline.org/taxonomyHistory.asp?taxnode_id=20172267","ICTVonline=20172267")</f>
        <v>ICTVonline=20172267</v>
      </c>
      <c r="L2124" s="3">
        <v>2123</v>
      </c>
    </row>
    <row r="2125" spans="1:12" x14ac:dyDescent="0.15">
      <c r="A2125" s="1" t="s">
        <v>1177</v>
      </c>
      <c r="B2125" s="1" t="s">
        <v>1178</v>
      </c>
      <c r="C2125" s="1" t="s">
        <v>3793</v>
      </c>
      <c r="D2125" s="1" t="s">
        <v>422</v>
      </c>
      <c r="E2125" s="1" t="s">
        <v>2227</v>
      </c>
      <c r="F2125" s="3">
        <v>0</v>
      </c>
      <c r="G2125" s="8" t="s">
        <v>2773</v>
      </c>
      <c r="H2125" s="8" t="s">
        <v>5161</v>
      </c>
      <c r="I2125" s="3">
        <v>30</v>
      </c>
      <c r="J2125" s="3" t="s">
        <v>5814</v>
      </c>
      <c r="K2125" s="17" t="str">
        <f>HYPERLINK("http://ictvonline.org/taxonomyHistory.asp?taxnode_id=20172268","ICTVonline=20172268")</f>
        <v>ICTVonline=20172268</v>
      </c>
      <c r="L2125" s="3">
        <v>2124</v>
      </c>
    </row>
    <row r="2126" spans="1:12" x14ac:dyDescent="0.15">
      <c r="A2126" s="1" t="s">
        <v>1177</v>
      </c>
      <c r="B2126" s="1" t="s">
        <v>1178</v>
      </c>
      <c r="C2126" s="1" t="s">
        <v>3793</v>
      </c>
      <c r="D2126" s="1" t="s">
        <v>422</v>
      </c>
      <c r="E2126" s="1" t="s">
        <v>1969</v>
      </c>
      <c r="F2126" s="3">
        <v>0</v>
      </c>
      <c r="G2126" s="8" t="s">
        <v>2773</v>
      </c>
      <c r="H2126" s="8" t="s">
        <v>5161</v>
      </c>
      <c r="I2126" s="3">
        <v>30</v>
      </c>
      <c r="J2126" s="3" t="s">
        <v>5814</v>
      </c>
      <c r="K2126" s="17" t="str">
        <f>HYPERLINK("http://ictvonline.org/taxonomyHistory.asp?taxnode_id=20172269","ICTVonline=20172269")</f>
        <v>ICTVonline=20172269</v>
      </c>
      <c r="L2126" s="3">
        <v>2125</v>
      </c>
    </row>
    <row r="2127" spans="1:12" x14ac:dyDescent="0.15">
      <c r="A2127" s="1" t="s">
        <v>1177</v>
      </c>
      <c r="B2127" s="1" t="s">
        <v>1178</v>
      </c>
      <c r="C2127" s="1" t="s">
        <v>3793</v>
      </c>
      <c r="D2127" s="1" t="s">
        <v>422</v>
      </c>
      <c r="E2127" s="1" t="s">
        <v>1970</v>
      </c>
      <c r="F2127" s="3">
        <v>0</v>
      </c>
      <c r="G2127" s="8" t="s">
        <v>2773</v>
      </c>
      <c r="H2127" s="8" t="s">
        <v>5161</v>
      </c>
      <c r="I2127" s="3">
        <v>30</v>
      </c>
      <c r="J2127" s="3" t="s">
        <v>5814</v>
      </c>
      <c r="K2127" s="17" t="str">
        <f>HYPERLINK("http://ictvonline.org/taxonomyHistory.asp?taxnode_id=20172270","ICTVonline=20172270")</f>
        <v>ICTVonline=20172270</v>
      </c>
      <c r="L2127" s="3">
        <v>2126</v>
      </c>
    </row>
    <row r="2128" spans="1:12" x14ac:dyDescent="0.15">
      <c r="A2128" s="1" t="s">
        <v>1177</v>
      </c>
      <c r="B2128" s="1" t="s">
        <v>1178</v>
      </c>
      <c r="C2128" s="1" t="s">
        <v>3793</v>
      </c>
      <c r="D2128" s="1" t="s">
        <v>422</v>
      </c>
      <c r="E2128" s="1" t="s">
        <v>3795</v>
      </c>
      <c r="F2128" s="3">
        <v>0</v>
      </c>
      <c r="G2128" s="8" t="s">
        <v>2773</v>
      </c>
      <c r="H2128" s="8" t="s">
        <v>5159</v>
      </c>
      <c r="I2128" s="3">
        <v>30</v>
      </c>
      <c r="J2128" s="3" t="s">
        <v>5814</v>
      </c>
      <c r="K2128" s="17" t="str">
        <f>HYPERLINK("http://ictvonline.org/taxonomyHistory.asp?taxnode_id=20172271","ICTVonline=20172271")</f>
        <v>ICTVonline=20172271</v>
      </c>
      <c r="L2128" s="3">
        <v>2127</v>
      </c>
    </row>
    <row r="2129" spans="1:12" x14ac:dyDescent="0.15">
      <c r="A2129" s="1" t="s">
        <v>1177</v>
      </c>
      <c r="B2129" s="1" t="s">
        <v>1178</v>
      </c>
      <c r="C2129" s="1" t="s">
        <v>3793</v>
      </c>
      <c r="D2129" s="1" t="s">
        <v>422</v>
      </c>
      <c r="E2129" s="1" t="s">
        <v>1971</v>
      </c>
      <c r="F2129" s="3">
        <v>0</v>
      </c>
      <c r="G2129" s="8" t="s">
        <v>2773</v>
      </c>
      <c r="H2129" s="8" t="s">
        <v>5161</v>
      </c>
      <c r="I2129" s="3">
        <v>30</v>
      </c>
      <c r="J2129" s="3" t="s">
        <v>5814</v>
      </c>
      <c r="K2129" s="17" t="str">
        <f>HYPERLINK("http://ictvonline.org/taxonomyHistory.asp?taxnode_id=20172272","ICTVonline=20172272")</f>
        <v>ICTVonline=20172272</v>
      </c>
      <c r="L2129" s="3">
        <v>2128</v>
      </c>
    </row>
    <row r="2130" spans="1:12" x14ac:dyDescent="0.15">
      <c r="A2130" s="1" t="s">
        <v>1177</v>
      </c>
      <c r="B2130" s="1" t="s">
        <v>1178</v>
      </c>
      <c r="C2130" s="1" t="s">
        <v>3793</v>
      </c>
      <c r="D2130" s="1" t="s">
        <v>422</v>
      </c>
      <c r="E2130" s="1" t="s">
        <v>1972</v>
      </c>
      <c r="F2130" s="3">
        <v>0</v>
      </c>
      <c r="G2130" s="8" t="s">
        <v>2773</v>
      </c>
      <c r="H2130" s="8" t="s">
        <v>5161</v>
      </c>
      <c r="I2130" s="3">
        <v>30</v>
      </c>
      <c r="J2130" s="3" t="s">
        <v>5814</v>
      </c>
      <c r="K2130" s="17" t="str">
        <f>HYPERLINK("http://ictvonline.org/taxonomyHistory.asp?taxnode_id=20172273","ICTVonline=20172273")</f>
        <v>ICTVonline=20172273</v>
      </c>
      <c r="L2130" s="3">
        <v>2129</v>
      </c>
    </row>
    <row r="2131" spans="1:12" x14ac:dyDescent="0.15">
      <c r="A2131" s="1" t="s">
        <v>1177</v>
      </c>
      <c r="B2131" s="1" t="s">
        <v>1178</v>
      </c>
      <c r="C2131" s="1" t="s">
        <v>3793</v>
      </c>
      <c r="D2131" s="1" t="s">
        <v>422</v>
      </c>
      <c r="E2131" s="1" t="s">
        <v>1973</v>
      </c>
      <c r="F2131" s="3">
        <v>0</v>
      </c>
      <c r="G2131" s="8" t="s">
        <v>2773</v>
      </c>
      <c r="H2131" s="8" t="s">
        <v>5161</v>
      </c>
      <c r="I2131" s="3">
        <v>30</v>
      </c>
      <c r="J2131" s="3" t="s">
        <v>5814</v>
      </c>
      <c r="K2131" s="17" t="str">
        <f>HYPERLINK("http://ictvonline.org/taxonomyHistory.asp?taxnode_id=20172274","ICTVonline=20172274")</f>
        <v>ICTVonline=20172274</v>
      </c>
      <c r="L2131" s="3">
        <v>2130</v>
      </c>
    </row>
    <row r="2132" spans="1:12" x14ac:dyDescent="0.15">
      <c r="A2132" s="1" t="s">
        <v>1177</v>
      </c>
      <c r="B2132" s="1" t="s">
        <v>1178</v>
      </c>
      <c r="C2132" s="1" t="s">
        <v>3793</v>
      </c>
      <c r="D2132" s="1" t="s">
        <v>422</v>
      </c>
      <c r="E2132" s="1" t="s">
        <v>1974</v>
      </c>
      <c r="F2132" s="3">
        <v>0</v>
      </c>
      <c r="G2132" s="8" t="s">
        <v>2773</v>
      </c>
      <c r="H2132" s="8" t="s">
        <v>5161</v>
      </c>
      <c r="I2132" s="3">
        <v>30</v>
      </c>
      <c r="J2132" s="3" t="s">
        <v>5814</v>
      </c>
      <c r="K2132" s="17" t="str">
        <f>HYPERLINK("http://ictvonline.org/taxonomyHistory.asp?taxnode_id=20172275","ICTVonline=20172275")</f>
        <v>ICTVonline=20172275</v>
      </c>
      <c r="L2132" s="3">
        <v>2131</v>
      </c>
    </row>
    <row r="2133" spans="1:12" x14ac:dyDescent="0.15">
      <c r="A2133" s="1" t="s">
        <v>1177</v>
      </c>
      <c r="B2133" s="1" t="s">
        <v>1178</v>
      </c>
      <c r="C2133" s="1" t="s">
        <v>3793</v>
      </c>
      <c r="D2133" s="1" t="s">
        <v>422</v>
      </c>
      <c r="E2133" s="1" t="s">
        <v>5818</v>
      </c>
      <c r="F2133" s="3">
        <v>0</v>
      </c>
      <c r="G2133" s="8" t="s">
        <v>2773</v>
      </c>
      <c r="H2133" s="8" t="s">
        <v>5159</v>
      </c>
      <c r="I2133" s="3">
        <v>32</v>
      </c>
      <c r="J2133" s="3" t="s">
        <v>5798</v>
      </c>
      <c r="K2133" s="17" t="str">
        <f>HYPERLINK("http://ictvonline.org/taxonomyHistory.asp?taxnode_id=20175639","ICTVonline=20175639")</f>
        <v>ICTVonline=20175639</v>
      </c>
      <c r="L2133" s="3">
        <v>2132</v>
      </c>
    </row>
    <row r="2134" spans="1:12" x14ac:dyDescent="0.15">
      <c r="A2134" s="1" t="s">
        <v>1177</v>
      </c>
      <c r="B2134" s="1" t="s">
        <v>1178</v>
      </c>
      <c r="C2134" s="1" t="s">
        <v>3793</v>
      </c>
      <c r="D2134" s="1" t="s">
        <v>422</v>
      </c>
      <c r="E2134" s="1" t="s">
        <v>5819</v>
      </c>
      <c r="F2134" s="3">
        <v>0</v>
      </c>
      <c r="G2134" s="8" t="s">
        <v>2773</v>
      </c>
      <c r="H2134" s="8" t="s">
        <v>5159</v>
      </c>
      <c r="I2134" s="3">
        <v>32</v>
      </c>
      <c r="J2134" s="3" t="s">
        <v>5798</v>
      </c>
      <c r="K2134" s="17" t="str">
        <f>HYPERLINK("http://ictvonline.org/taxonomyHistory.asp?taxnode_id=20175640","ICTVonline=20175640")</f>
        <v>ICTVonline=20175640</v>
      </c>
      <c r="L2134" s="3">
        <v>2133</v>
      </c>
    </row>
    <row r="2135" spans="1:12" x14ac:dyDescent="0.15">
      <c r="A2135" s="1" t="s">
        <v>1177</v>
      </c>
      <c r="B2135" s="1" t="s">
        <v>1178</v>
      </c>
      <c r="C2135" s="1" t="s">
        <v>3793</v>
      </c>
      <c r="D2135" s="1" t="s">
        <v>422</v>
      </c>
      <c r="E2135" s="1" t="s">
        <v>5820</v>
      </c>
      <c r="F2135" s="3">
        <v>0</v>
      </c>
      <c r="G2135" s="8" t="s">
        <v>2773</v>
      </c>
      <c r="H2135" s="8" t="s">
        <v>5159</v>
      </c>
      <c r="I2135" s="3">
        <v>32</v>
      </c>
      <c r="J2135" s="3" t="s">
        <v>5798</v>
      </c>
      <c r="K2135" s="17" t="str">
        <f>HYPERLINK("http://ictvonline.org/taxonomyHistory.asp?taxnode_id=20175641","ICTVonline=20175641")</f>
        <v>ICTVonline=20175641</v>
      </c>
      <c r="L2135" s="3">
        <v>2134</v>
      </c>
    </row>
    <row r="2136" spans="1:12" x14ac:dyDescent="0.15">
      <c r="A2136" s="1" t="s">
        <v>1177</v>
      </c>
      <c r="B2136" s="1" t="s">
        <v>1178</v>
      </c>
      <c r="C2136" s="1" t="s">
        <v>3793</v>
      </c>
      <c r="D2136" s="1" t="s">
        <v>422</v>
      </c>
      <c r="E2136" s="1" t="s">
        <v>1975</v>
      </c>
      <c r="F2136" s="3">
        <v>0</v>
      </c>
      <c r="G2136" s="8" t="s">
        <v>2773</v>
      </c>
      <c r="H2136" s="8" t="s">
        <v>5161</v>
      </c>
      <c r="I2136" s="3">
        <v>30</v>
      </c>
      <c r="J2136" s="3" t="s">
        <v>5814</v>
      </c>
      <c r="K2136" s="17" t="str">
        <f>HYPERLINK("http://ictvonline.org/taxonomyHistory.asp?taxnode_id=20172276","ICTVonline=20172276")</f>
        <v>ICTVonline=20172276</v>
      </c>
      <c r="L2136" s="3">
        <v>2135</v>
      </c>
    </row>
    <row r="2137" spans="1:12" x14ac:dyDescent="0.15">
      <c r="A2137" s="1" t="s">
        <v>1177</v>
      </c>
      <c r="B2137" s="1" t="s">
        <v>1178</v>
      </c>
      <c r="C2137" s="1" t="s">
        <v>3793</v>
      </c>
      <c r="D2137" s="1" t="s">
        <v>422</v>
      </c>
      <c r="E2137" s="1" t="s">
        <v>5821</v>
      </c>
      <c r="F2137" s="3">
        <v>0</v>
      </c>
      <c r="G2137" s="8" t="s">
        <v>2773</v>
      </c>
      <c r="H2137" s="8" t="s">
        <v>5162</v>
      </c>
      <c r="I2137" s="3">
        <v>32</v>
      </c>
      <c r="J2137" s="3" t="s">
        <v>5564</v>
      </c>
      <c r="K2137" s="17" t="str">
        <f>HYPERLINK("http://ictvonline.org/taxonomyHistory.asp?taxnode_id=20172277","ICTVonline=20172277")</f>
        <v>ICTVonline=20172277</v>
      </c>
      <c r="L2137" s="3">
        <v>2136</v>
      </c>
    </row>
    <row r="2138" spans="1:12" x14ac:dyDescent="0.15">
      <c r="A2138" s="1" t="s">
        <v>1177</v>
      </c>
      <c r="B2138" s="1" t="s">
        <v>1178</v>
      </c>
      <c r="C2138" s="1" t="s">
        <v>3793</v>
      </c>
      <c r="D2138" s="1" t="s">
        <v>422</v>
      </c>
      <c r="E2138" s="1" t="s">
        <v>218</v>
      </c>
      <c r="F2138" s="3">
        <v>0</v>
      </c>
      <c r="G2138" s="8" t="s">
        <v>2773</v>
      </c>
      <c r="H2138" s="8" t="s">
        <v>5161</v>
      </c>
      <c r="I2138" s="3">
        <v>30</v>
      </c>
      <c r="J2138" s="3" t="s">
        <v>5814</v>
      </c>
      <c r="K2138" s="17" t="str">
        <f>HYPERLINK("http://ictvonline.org/taxonomyHistory.asp?taxnode_id=20172278","ICTVonline=20172278")</f>
        <v>ICTVonline=20172278</v>
      </c>
      <c r="L2138" s="3">
        <v>2137</v>
      </c>
    </row>
    <row r="2139" spans="1:12" x14ac:dyDescent="0.15">
      <c r="A2139" s="1" t="s">
        <v>1177</v>
      </c>
      <c r="B2139" s="1" t="s">
        <v>1178</v>
      </c>
      <c r="C2139" s="1" t="s">
        <v>3793</v>
      </c>
      <c r="D2139" s="1" t="s">
        <v>422</v>
      </c>
      <c r="E2139" s="1" t="s">
        <v>2228</v>
      </c>
      <c r="F2139" s="3">
        <v>0</v>
      </c>
      <c r="G2139" s="8" t="s">
        <v>2773</v>
      </c>
      <c r="H2139" s="8" t="s">
        <v>5161</v>
      </c>
      <c r="I2139" s="3">
        <v>30</v>
      </c>
      <c r="J2139" s="3" t="s">
        <v>5814</v>
      </c>
      <c r="K2139" s="17" t="str">
        <f>HYPERLINK("http://ictvonline.org/taxonomyHistory.asp?taxnode_id=20172279","ICTVonline=20172279")</f>
        <v>ICTVonline=20172279</v>
      </c>
      <c r="L2139" s="3">
        <v>2138</v>
      </c>
    </row>
    <row r="2140" spans="1:12" x14ac:dyDescent="0.15">
      <c r="A2140" s="1" t="s">
        <v>1177</v>
      </c>
      <c r="B2140" s="1" t="s">
        <v>1178</v>
      </c>
      <c r="C2140" s="1" t="s">
        <v>3793</v>
      </c>
      <c r="D2140" s="1" t="s">
        <v>422</v>
      </c>
      <c r="E2140" s="1" t="s">
        <v>219</v>
      </c>
      <c r="F2140" s="3">
        <v>0</v>
      </c>
      <c r="G2140" s="8" t="s">
        <v>2773</v>
      </c>
      <c r="H2140" s="8" t="s">
        <v>5161</v>
      </c>
      <c r="I2140" s="3">
        <v>30</v>
      </c>
      <c r="J2140" s="3" t="s">
        <v>5814</v>
      </c>
      <c r="K2140" s="17" t="str">
        <f>HYPERLINK("http://ictvonline.org/taxonomyHistory.asp?taxnode_id=20172280","ICTVonline=20172280")</f>
        <v>ICTVonline=20172280</v>
      </c>
      <c r="L2140" s="3">
        <v>2139</v>
      </c>
    </row>
    <row r="2141" spans="1:12" x14ac:dyDescent="0.15">
      <c r="A2141" s="1" t="s">
        <v>1177</v>
      </c>
      <c r="B2141" s="1" t="s">
        <v>1178</v>
      </c>
      <c r="C2141" s="1" t="s">
        <v>3793</v>
      </c>
      <c r="D2141" s="1" t="s">
        <v>422</v>
      </c>
      <c r="E2141" s="1" t="s">
        <v>220</v>
      </c>
      <c r="F2141" s="3">
        <v>0</v>
      </c>
      <c r="G2141" s="8" t="s">
        <v>2773</v>
      </c>
      <c r="H2141" s="8" t="s">
        <v>5161</v>
      </c>
      <c r="I2141" s="3">
        <v>30</v>
      </c>
      <c r="J2141" s="3" t="s">
        <v>5814</v>
      </c>
      <c r="K2141" s="17" t="str">
        <f>HYPERLINK("http://ictvonline.org/taxonomyHistory.asp?taxnode_id=20172281","ICTVonline=20172281")</f>
        <v>ICTVonline=20172281</v>
      </c>
      <c r="L2141" s="3">
        <v>2140</v>
      </c>
    </row>
    <row r="2142" spans="1:12" x14ac:dyDescent="0.15">
      <c r="A2142" s="1" t="s">
        <v>1177</v>
      </c>
      <c r="B2142" s="1" t="s">
        <v>1178</v>
      </c>
      <c r="C2142" s="1" t="s">
        <v>3793</v>
      </c>
      <c r="D2142" s="1" t="s">
        <v>422</v>
      </c>
      <c r="E2142" s="1" t="s">
        <v>5822</v>
      </c>
      <c r="F2142" s="3">
        <v>0</v>
      </c>
      <c r="G2142" s="8" t="s">
        <v>2773</v>
      </c>
      <c r="H2142" s="8" t="s">
        <v>5159</v>
      </c>
      <c r="I2142" s="3">
        <v>32</v>
      </c>
      <c r="J2142" s="3" t="s">
        <v>5798</v>
      </c>
      <c r="K2142" s="17" t="str">
        <f>HYPERLINK("http://ictvonline.org/taxonomyHistory.asp?taxnode_id=20175642","ICTVonline=20175642")</f>
        <v>ICTVonline=20175642</v>
      </c>
      <c r="L2142" s="3">
        <v>2141</v>
      </c>
    </row>
    <row r="2143" spans="1:12" x14ac:dyDescent="0.15">
      <c r="A2143" s="1" t="s">
        <v>1177</v>
      </c>
      <c r="B2143" s="1" t="s">
        <v>1178</v>
      </c>
      <c r="C2143" s="1" t="s">
        <v>3793</v>
      </c>
      <c r="D2143" s="1" t="s">
        <v>223</v>
      </c>
      <c r="E2143" s="1" t="s">
        <v>224</v>
      </c>
      <c r="F2143" s="3">
        <v>1</v>
      </c>
      <c r="G2143" s="8" t="s">
        <v>2773</v>
      </c>
      <c r="H2143" s="8" t="s">
        <v>5161</v>
      </c>
      <c r="I2143" s="3">
        <v>30</v>
      </c>
      <c r="J2143" s="3" t="s">
        <v>5814</v>
      </c>
      <c r="K2143" s="17" t="str">
        <f>HYPERLINK("http://ictvonline.org/taxonomyHistory.asp?taxnode_id=20172283","ICTVonline=20172283")</f>
        <v>ICTVonline=20172283</v>
      </c>
      <c r="L2143" s="3">
        <v>2142</v>
      </c>
    </row>
    <row r="2144" spans="1:12" x14ac:dyDescent="0.15">
      <c r="A2144" s="1" t="s">
        <v>1177</v>
      </c>
      <c r="B2144" s="1" t="s">
        <v>1178</v>
      </c>
      <c r="C2144" s="1" t="s">
        <v>3793</v>
      </c>
      <c r="D2144" s="1" t="s">
        <v>223</v>
      </c>
      <c r="E2144" s="1" t="s">
        <v>225</v>
      </c>
      <c r="F2144" s="3">
        <v>0</v>
      </c>
      <c r="G2144" s="8" t="s">
        <v>2773</v>
      </c>
      <c r="H2144" s="8" t="s">
        <v>5161</v>
      </c>
      <c r="I2144" s="3">
        <v>30</v>
      </c>
      <c r="J2144" s="3" t="s">
        <v>5814</v>
      </c>
      <c r="K2144" s="17" t="str">
        <f>HYPERLINK("http://ictvonline.org/taxonomyHistory.asp?taxnode_id=20172284","ICTVonline=20172284")</f>
        <v>ICTVonline=20172284</v>
      </c>
      <c r="L2144" s="3">
        <v>2143</v>
      </c>
    </row>
    <row r="2145" spans="1:12" x14ac:dyDescent="0.15">
      <c r="A2145" s="1" t="s">
        <v>1177</v>
      </c>
      <c r="B2145" s="1" t="s">
        <v>1178</v>
      </c>
      <c r="C2145" s="1" t="s">
        <v>3793</v>
      </c>
      <c r="D2145" s="1" t="s">
        <v>223</v>
      </c>
      <c r="E2145" s="1" t="s">
        <v>2229</v>
      </c>
      <c r="F2145" s="3">
        <v>0</v>
      </c>
      <c r="G2145" s="8" t="s">
        <v>2773</v>
      </c>
      <c r="H2145" s="8" t="s">
        <v>5161</v>
      </c>
      <c r="I2145" s="3">
        <v>30</v>
      </c>
      <c r="J2145" s="3" t="s">
        <v>5814</v>
      </c>
      <c r="K2145" s="17" t="str">
        <f>HYPERLINK("http://ictvonline.org/taxonomyHistory.asp?taxnode_id=20172285","ICTVonline=20172285")</f>
        <v>ICTVonline=20172285</v>
      </c>
      <c r="L2145" s="3">
        <v>2144</v>
      </c>
    </row>
    <row r="2146" spans="1:12" x14ac:dyDescent="0.15">
      <c r="A2146" s="1" t="s">
        <v>1177</v>
      </c>
      <c r="B2146" s="1" t="s">
        <v>1178</v>
      </c>
      <c r="C2146" s="1" t="s">
        <v>3793</v>
      </c>
      <c r="D2146" s="1" t="s">
        <v>223</v>
      </c>
      <c r="E2146" s="1" t="s">
        <v>5823</v>
      </c>
      <c r="F2146" s="3">
        <v>0</v>
      </c>
      <c r="G2146" s="8" t="s">
        <v>2773</v>
      </c>
      <c r="H2146" s="8" t="s">
        <v>5159</v>
      </c>
      <c r="I2146" s="3">
        <v>32</v>
      </c>
      <c r="J2146" s="3" t="s">
        <v>5798</v>
      </c>
      <c r="K2146" s="17" t="str">
        <f>HYPERLINK("http://ictvonline.org/taxonomyHistory.asp?taxnode_id=20175643","ICTVonline=20175643")</f>
        <v>ICTVonline=20175643</v>
      </c>
      <c r="L2146" s="3">
        <v>2145</v>
      </c>
    </row>
    <row r="2147" spans="1:12" x14ac:dyDescent="0.15">
      <c r="A2147" s="1" t="s">
        <v>1177</v>
      </c>
      <c r="B2147" s="1" t="s">
        <v>1178</v>
      </c>
      <c r="C2147" s="1" t="s">
        <v>3793</v>
      </c>
      <c r="D2147" s="1" t="s">
        <v>223</v>
      </c>
      <c r="E2147" s="1" t="s">
        <v>346</v>
      </c>
      <c r="F2147" s="3">
        <v>0</v>
      </c>
      <c r="G2147" s="8" t="s">
        <v>2773</v>
      </c>
      <c r="H2147" s="8" t="s">
        <v>5161</v>
      </c>
      <c r="I2147" s="3">
        <v>30</v>
      </c>
      <c r="J2147" s="3" t="s">
        <v>5814</v>
      </c>
      <c r="K2147" s="17" t="str">
        <f>HYPERLINK("http://ictvonline.org/taxonomyHistory.asp?taxnode_id=20172286","ICTVonline=20172286")</f>
        <v>ICTVonline=20172286</v>
      </c>
      <c r="L2147" s="3">
        <v>2146</v>
      </c>
    </row>
    <row r="2148" spans="1:12" x14ac:dyDescent="0.15">
      <c r="A2148" s="1" t="s">
        <v>1177</v>
      </c>
      <c r="B2148" s="1" t="s">
        <v>1178</v>
      </c>
      <c r="C2148" s="1" t="s">
        <v>3793</v>
      </c>
      <c r="D2148" s="1" t="s">
        <v>223</v>
      </c>
      <c r="E2148" s="1" t="s">
        <v>2134</v>
      </c>
      <c r="F2148" s="3">
        <v>0</v>
      </c>
      <c r="G2148" s="8" t="s">
        <v>2773</v>
      </c>
      <c r="H2148" s="8" t="s">
        <v>5161</v>
      </c>
      <c r="I2148" s="3">
        <v>30</v>
      </c>
      <c r="J2148" s="3" t="s">
        <v>5814</v>
      </c>
      <c r="K2148" s="17" t="str">
        <f>HYPERLINK("http://ictvonline.org/taxonomyHistory.asp?taxnode_id=20172287","ICTVonline=20172287")</f>
        <v>ICTVonline=20172287</v>
      </c>
      <c r="L2148" s="3">
        <v>2147</v>
      </c>
    </row>
    <row r="2149" spans="1:12" x14ac:dyDescent="0.15">
      <c r="A2149" s="1" t="s">
        <v>1177</v>
      </c>
      <c r="B2149" s="1" t="s">
        <v>1178</v>
      </c>
      <c r="C2149" s="1" t="s">
        <v>3793</v>
      </c>
      <c r="D2149" s="1" t="s">
        <v>223</v>
      </c>
      <c r="E2149" s="1" t="s">
        <v>2343</v>
      </c>
      <c r="F2149" s="3">
        <v>0</v>
      </c>
      <c r="G2149" s="8" t="s">
        <v>2773</v>
      </c>
      <c r="H2149" s="8" t="s">
        <v>5161</v>
      </c>
      <c r="I2149" s="3">
        <v>30</v>
      </c>
      <c r="J2149" s="3" t="s">
        <v>5814</v>
      </c>
      <c r="K2149" s="17" t="str">
        <f>HYPERLINK("http://ictvonline.org/taxonomyHistory.asp?taxnode_id=20172288","ICTVonline=20172288")</f>
        <v>ICTVonline=20172288</v>
      </c>
      <c r="L2149" s="3">
        <v>2148</v>
      </c>
    </row>
    <row r="2150" spans="1:12" x14ac:dyDescent="0.15">
      <c r="A2150" s="1" t="s">
        <v>1177</v>
      </c>
      <c r="B2150" s="1" t="s">
        <v>1178</v>
      </c>
      <c r="C2150" s="1" t="s">
        <v>3793</v>
      </c>
      <c r="D2150" s="1" t="s">
        <v>3796</v>
      </c>
      <c r="E2150" s="1" t="s">
        <v>1528</v>
      </c>
      <c r="F2150" s="3">
        <v>0</v>
      </c>
      <c r="G2150" s="8" t="s">
        <v>2773</v>
      </c>
      <c r="H2150" s="8" t="s">
        <v>5161</v>
      </c>
      <c r="I2150" s="3">
        <v>30</v>
      </c>
      <c r="J2150" s="3" t="s">
        <v>5814</v>
      </c>
      <c r="K2150" s="17" t="str">
        <f>HYPERLINK("http://ictvonline.org/taxonomyHistory.asp?taxnode_id=20172290","ICTVonline=20172290")</f>
        <v>ICTVonline=20172290</v>
      </c>
      <c r="L2150" s="3">
        <v>2149</v>
      </c>
    </row>
    <row r="2151" spans="1:12" x14ac:dyDescent="0.15">
      <c r="A2151" s="1" t="s">
        <v>1177</v>
      </c>
      <c r="B2151" s="1" t="s">
        <v>1178</v>
      </c>
      <c r="C2151" s="1" t="s">
        <v>3793</v>
      </c>
      <c r="D2151" s="1" t="s">
        <v>3796</v>
      </c>
      <c r="E2151" s="1" t="s">
        <v>1999</v>
      </c>
      <c r="F2151" s="3">
        <v>0</v>
      </c>
      <c r="G2151" s="8" t="s">
        <v>2773</v>
      </c>
      <c r="H2151" s="8" t="s">
        <v>5161</v>
      </c>
      <c r="I2151" s="3">
        <v>30</v>
      </c>
      <c r="J2151" s="3" t="s">
        <v>5814</v>
      </c>
      <c r="K2151" s="17" t="str">
        <f>HYPERLINK("http://ictvonline.org/taxonomyHistory.asp?taxnode_id=20172291","ICTVonline=20172291")</f>
        <v>ICTVonline=20172291</v>
      </c>
      <c r="L2151" s="3">
        <v>2150</v>
      </c>
    </row>
    <row r="2152" spans="1:12" x14ac:dyDescent="0.15">
      <c r="A2152" s="1" t="s">
        <v>1177</v>
      </c>
      <c r="B2152" s="1" t="s">
        <v>1178</v>
      </c>
      <c r="C2152" s="1" t="s">
        <v>3793</v>
      </c>
      <c r="D2152" s="1" t="s">
        <v>3796</v>
      </c>
      <c r="E2152" s="1" t="s">
        <v>2000</v>
      </c>
      <c r="F2152" s="3">
        <v>1</v>
      </c>
      <c r="G2152" s="8" t="s">
        <v>2773</v>
      </c>
      <c r="H2152" s="8" t="s">
        <v>5161</v>
      </c>
      <c r="I2152" s="3">
        <v>30</v>
      </c>
      <c r="J2152" s="3" t="s">
        <v>5814</v>
      </c>
      <c r="K2152" s="17" t="str">
        <f>HYPERLINK("http://ictvonline.org/taxonomyHistory.asp?taxnode_id=20172292","ICTVonline=20172292")</f>
        <v>ICTVonline=20172292</v>
      </c>
      <c r="L2152" s="3">
        <v>2151</v>
      </c>
    </row>
    <row r="2153" spans="1:12" x14ac:dyDescent="0.15">
      <c r="A2153" s="1" t="s">
        <v>1177</v>
      </c>
      <c r="B2153" s="1" t="s">
        <v>1178</v>
      </c>
      <c r="C2153" s="1" t="s">
        <v>3793</v>
      </c>
      <c r="D2153" s="1" t="s">
        <v>3796</v>
      </c>
      <c r="E2153" s="1" t="s">
        <v>3797</v>
      </c>
      <c r="F2153" s="3">
        <v>0</v>
      </c>
      <c r="G2153" s="8" t="s">
        <v>2773</v>
      </c>
      <c r="H2153" s="8" t="s">
        <v>5159</v>
      </c>
      <c r="I2153" s="3">
        <v>30</v>
      </c>
      <c r="J2153" s="3" t="s">
        <v>5814</v>
      </c>
      <c r="K2153" s="17" t="str">
        <f>HYPERLINK("http://ictvonline.org/taxonomyHistory.asp?taxnode_id=20172293","ICTVonline=20172293")</f>
        <v>ICTVonline=20172293</v>
      </c>
      <c r="L2153" s="3">
        <v>2152</v>
      </c>
    </row>
    <row r="2154" spans="1:12" x14ac:dyDescent="0.15">
      <c r="A2154" s="1" t="s">
        <v>1177</v>
      </c>
      <c r="B2154" s="1" t="s">
        <v>1178</v>
      </c>
      <c r="C2154" s="1" t="s">
        <v>3793</v>
      </c>
      <c r="D2154" s="1" t="s">
        <v>3796</v>
      </c>
      <c r="E2154" s="1" t="s">
        <v>3798</v>
      </c>
      <c r="F2154" s="3">
        <v>0</v>
      </c>
      <c r="G2154" s="8" t="s">
        <v>2773</v>
      </c>
      <c r="H2154" s="8" t="s">
        <v>5159</v>
      </c>
      <c r="I2154" s="3">
        <v>30</v>
      </c>
      <c r="J2154" s="3" t="s">
        <v>5814</v>
      </c>
      <c r="K2154" s="17" t="str">
        <f>HYPERLINK("http://ictvonline.org/taxonomyHistory.asp?taxnode_id=20172294","ICTVonline=20172294")</f>
        <v>ICTVonline=20172294</v>
      </c>
      <c r="L2154" s="3">
        <v>2153</v>
      </c>
    </row>
    <row r="2155" spans="1:12" x14ac:dyDescent="0.15">
      <c r="A2155" s="1" t="s">
        <v>1177</v>
      </c>
      <c r="B2155" s="1" t="s">
        <v>1178</v>
      </c>
      <c r="C2155" s="1" t="s">
        <v>3793</v>
      </c>
      <c r="D2155" s="1" t="s">
        <v>908</v>
      </c>
      <c r="E2155" s="1" t="s">
        <v>2106</v>
      </c>
      <c r="F2155" s="3">
        <v>0</v>
      </c>
      <c r="G2155" s="8" t="s">
        <v>2773</v>
      </c>
      <c r="H2155" s="8" t="s">
        <v>5161</v>
      </c>
      <c r="I2155" s="3">
        <v>30</v>
      </c>
      <c r="J2155" s="3" t="s">
        <v>5814</v>
      </c>
      <c r="K2155" s="17" t="str">
        <f>HYPERLINK("http://ictvonline.org/taxonomyHistory.asp?taxnode_id=20172296","ICTVonline=20172296")</f>
        <v>ICTVonline=20172296</v>
      </c>
      <c r="L2155" s="3">
        <v>2154</v>
      </c>
    </row>
    <row r="2156" spans="1:12" x14ac:dyDescent="0.15">
      <c r="A2156" s="1" t="s">
        <v>1177</v>
      </c>
      <c r="B2156" s="1" t="s">
        <v>1178</v>
      </c>
      <c r="C2156" s="1" t="s">
        <v>3793</v>
      </c>
      <c r="D2156" s="1" t="s">
        <v>908</v>
      </c>
      <c r="E2156" s="1" t="s">
        <v>2232</v>
      </c>
      <c r="F2156" s="3">
        <v>0</v>
      </c>
      <c r="G2156" s="8" t="s">
        <v>2773</v>
      </c>
      <c r="H2156" s="8" t="s">
        <v>5161</v>
      </c>
      <c r="I2156" s="3">
        <v>30</v>
      </c>
      <c r="J2156" s="3" t="s">
        <v>5814</v>
      </c>
      <c r="K2156" s="17" t="str">
        <f>HYPERLINK("http://ictvonline.org/taxonomyHistory.asp?taxnode_id=20172297","ICTVonline=20172297")</f>
        <v>ICTVonline=20172297</v>
      </c>
      <c r="L2156" s="3">
        <v>2155</v>
      </c>
    </row>
    <row r="2157" spans="1:12" x14ac:dyDescent="0.15">
      <c r="A2157" s="1" t="s">
        <v>1177</v>
      </c>
      <c r="B2157" s="1" t="s">
        <v>1178</v>
      </c>
      <c r="C2157" s="1" t="s">
        <v>3793</v>
      </c>
      <c r="D2157" s="1" t="s">
        <v>908</v>
      </c>
      <c r="E2157" s="1" t="s">
        <v>1529</v>
      </c>
      <c r="F2157" s="3">
        <v>0</v>
      </c>
      <c r="G2157" s="8" t="s">
        <v>2773</v>
      </c>
      <c r="H2157" s="8" t="s">
        <v>5161</v>
      </c>
      <c r="I2157" s="3">
        <v>30</v>
      </c>
      <c r="J2157" s="3" t="s">
        <v>5814</v>
      </c>
      <c r="K2157" s="17" t="str">
        <f>HYPERLINK("http://ictvonline.org/taxonomyHistory.asp?taxnode_id=20172298","ICTVonline=20172298")</f>
        <v>ICTVonline=20172298</v>
      </c>
      <c r="L2157" s="3">
        <v>2156</v>
      </c>
    </row>
    <row r="2158" spans="1:12" x14ac:dyDescent="0.15">
      <c r="A2158" s="1" t="s">
        <v>1177</v>
      </c>
      <c r="B2158" s="1" t="s">
        <v>1178</v>
      </c>
      <c r="C2158" s="1" t="s">
        <v>3799</v>
      </c>
      <c r="D2158" s="1" t="s">
        <v>291</v>
      </c>
      <c r="E2158" s="1" t="s">
        <v>420</v>
      </c>
      <c r="F2158" s="3">
        <v>1</v>
      </c>
      <c r="G2158" s="8" t="s">
        <v>2773</v>
      </c>
      <c r="H2158" s="8" t="s">
        <v>5161</v>
      </c>
      <c r="I2158" s="3">
        <v>30</v>
      </c>
      <c r="J2158" s="3" t="s">
        <v>5814</v>
      </c>
      <c r="K2158" s="17" t="str">
        <f>HYPERLINK("http://ictvonline.org/taxonomyHistory.asp?taxnode_id=20172301","ICTVonline=20172301")</f>
        <v>ICTVonline=20172301</v>
      </c>
      <c r="L2158" s="3">
        <v>2157</v>
      </c>
    </row>
    <row r="2159" spans="1:12" x14ac:dyDescent="0.15">
      <c r="A2159" s="1" t="s">
        <v>1177</v>
      </c>
      <c r="B2159" s="1" t="s">
        <v>1178</v>
      </c>
      <c r="C2159" s="1" t="s">
        <v>3799</v>
      </c>
      <c r="D2159" s="1" t="s">
        <v>291</v>
      </c>
      <c r="E2159" s="1" t="s">
        <v>421</v>
      </c>
      <c r="F2159" s="3">
        <v>0</v>
      </c>
      <c r="G2159" s="8" t="s">
        <v>2773</v>
      </c>
      <c r="H2159" s="8" t="s">
        <v>5161</v>
      </c>
      <c r="I2159" s="3">
        <v>30</v>
      </c>
      <c r="J2159" s="3" t="s">
        <v>5814</v>
      </c>
      <c r="K2159" s="17" t="str">
        <f>HYPERLINK("http://ictvonline.org/taxonomyHistory.asp?taxnode_id=20172302","ICTVonline=20172302")</f>
        <v>ICTVonline=20172302</v>
      </c>
      <c r="L2159" s="3">
        <v>2158</v>
      </c>
    </row>
    <row r="2160" spans="1:12" x14ac:dyDescent="0.15">
      <c r="A2160" s="1" t="s">
        <v>1177</v>
      </c>
      <c r="B2160" s="1" t="s">
        <v>1178</v>
      </c>
      <c r="C2160" s="1" t="s">
        <v>3799</v>
      </c>
      <c r="D2160" s="1" t="s">
        <v>3800</v>
      </c>
      <c r="E2160" s="1" t="s">
        <v>3801</v>
      </c>
      <c r="F2160" s="3">
        <v>1</v>
      </c>
      <c r="G2160" s="8" t="s">
        <v>2773</v>
      </c>
      <c r="H2160" s="8" t="s">
        <v>5159</v>
      </c>
      <c r="I2160" s="3">
        <v>30</v>
      </c>
      <c r="J2160" s="3" t="s">
        <v>5814</v>
      </c>
      <c r="K2160" s="17" t="str">
        <f>HYPERLINK("http://ictvonline.org/taxonomyHistory.asp?taxnode_id=20172304","ICTVonline=20172304")</f>
        <v>ICTVonline=20172304</v>
      </c>
      <c r="L2160" s="3">
        <v>2159</v>
      </c>
    </row>
    <row r="2161" spans="1:12" x14ac:dyDescent="0.15">
      <c r="A2161" s="1" t="s">
        <v>1177</v>
      </c>
      <c r="B2161" s="1" t="s">
        <v>1178</v>
      </c>
      <c r="C2161" s="1" t="s">
        <v>3799</v>
      </c>
      <c r="D2161" s="1" t="s">
        <v>3800</v>
      </c>
      <c r="E2161" s="1" t="s">
        <v>3802</v>
      </c>
      <c r="F2161" s="3">
        <v>0</v>
      </c>
      <c r="G2161" s="8" t="s">
        <v>2773</v>
      </c>
      <c r="H2161" s="8" t="s">
        <v>5159</v>
      </c>
      <c r="I2161" s="3">
        <v>30</v>
      </c>
      <c r="J2161" s="3" t="s">
        <v>5814</v>
      </c>
      <c r="K2161" s="17" t="str">
        <f>HYPERLINK("http://ictvonline.org/taxonomyHistory.asp?taxnode_id=20172305","ICTVonline=20172305")</f>
        <v>ICTVonline=20172305</v>
      </c>
      <c r="L2161" s="3">
        <v>2160</v>
      </c>
    </row>
    <row r="2162" spans="1:12" x14ac:dyDescent="0.15">
      <c r="A2162" s="1" t="s">
        <v>1177</v>
      </c>
      <c r="B2162" s="1" t="s">
        <v>1178</v>
      </c>
      <c r="C2162" s="1" t="s">
        <v>3799</v>
      </c>
      <c r="D2162" s="1" t="s">
        <v>221</v>
      </c>
      <c r="E2162" s="1" t="s">
        <v>222</v>
      </c>
      <c r="F2162" s="3">
        <v>1</v>
      </c>
      <c r="G2162" s="8" t="s">
        <v>2773</v>
      </c>
      <c r="H2162" s="8" t="s">
        <v>5161</v>
      </c>
      <c r="I2162" s="3">
        <v>30</v>
      </c>
      <c r="J2162" s="3" t="s">
        <v>5814</v>
      </c>
      <c r="K2162" s="17" t="str">
        <f>HYPERLINK("http://ictvonline.org/taxonomyHistory.asp?taxnode_id=20172307","ICTVonline=20172307")</f>
        <v>ICTVonline=20172307</v>
      </c>
      <c r="L2162" s="3">
        <v>2161</v>
      </c>
    </row>
    <row r="2163" spans="1:12" x14ac:dyDescent="0.15">
      <c r="A2163" s="1" t="s">
        <v>1177</v>
      </c>
      <c r="B2163" s="1" t="s">
        <v>1178</v>
      </c>
      <c r="C2163" s="1" t="s">
        <v>3799</v>
      </c>
      <c r="D2163" s="1" t="s">
        <v>3803</v>
      </c>
      <c r="E2163" s="1" t="s">
        <v>2344</v>
      </c>
      <c r="F2163" s="3">
        <v>1</v>
      </c>
      <c r="G2163" s="8" t="s">
        <v>2773</v>
      </c>
      <c r="H2163" s="8" t="s">
        <v>5161</v>
      </c>
      <c r="I2163" s="3">
        <v>30</v>
      </c>
      <c r="J2163" s="3" t="s">
        <v>5814</v>
      </c>
      <c r="K2163" s="17" t="str">
        <f>HYPERLINK("http://ictvonline.org/taxonomyHistory.asp?taxnode_id=20172309","ICTVonline=20172309")</f>
        <v>ICTVonline=20172309</v>
      </c>
      <c r="L2163" s="3">
        <v>2162</v>
      </c>
    </row>
    <row r="2164" spans="1:12" x14ac:dyDescent="0.15">
      <c r="A2164" s="1" t="s">
        <v>1177</v>
      </c>
      <c r="B2164" s="1" t="s">
        <v>1178</v>
      </c>
      <c r="C2164" s="1" t="s">
        <v>3799</v>
      </c>
      <c r="D2164" s="1" t="s">
        <v>3803</v>
      </c>
      <c r="E2164" s="1" t="s">
        <v>2345</v>
      </c>
      <c r="F2164" s="3">
        <v>0</v>
      </c>
      <c r="G2164" s="8" t="s">
        <v>2773</v>
      </c>
      <c r="H2164" s="8" t="s">
        <v>5161</v>
      </c>
      <c r="I2164" s="3">
        <v>30</v>
      </c>
      <c r="J2164" s="3" t="s">
        <v>5814</v>
      </c>
      <c r="K2164" s="17" t="str">
        <f>HYPERLINK("http://ictvonline.org/taxonomyHistory.asp?taxnode_id=20172310","ICTVonline=20172310")</f>
        <v>ICTVonline=20172310</v>
      </c>
      <c r="L2164" s="3">
        <v>2163</v>
      </c>
    </row>
    <row r="2165" spans="1:12" x14ac:dyDescent="0.15">
      <c r="A2165" s="1" t="s">
        <v>1177</v>
      </c>
      <c r="B2165" s="1" t="s">
        <v>1178</v>
      </c>
      <c r="C2165" s="1" t="s">
        <v>3799</v>
      </c>
      <c r="D2165" s="1" t="s">
        <v>3803</v>
      </c>
      <c r="E2165" s="1" t="s">
        <v>2233</v>
      </c>
      <c r="F2165" s="3">
        <v>0</v>
      </c>
      <c r="G2165" s="8" t="s">
        <v>2773</v>
      </c>
      <c r="H2165" s="8" t="s">
        <v>5161</v>
      </c>
      <c r="I2165" s="3">
        <v>30</v>
      </c>
      <c r="J2165" s="3" t="s">
        <v>5814</v>
      </c>
      <c r="K2165" s="17" t="str">
        <f>HYPERLINK("http://ictvonline.org/taxonomyHistory.asp?taxnode_id=20172311","ICTVonline=20172311")</f>
        <v>ICTVonline=20172311</v>
      </c>
      <c r="L2165" s="3">
        <v>2164</v>
      </c>
    </row>
    <row r="2166" spans="1:12" x14ac:dyDescent="0.15">
      <c r="A2166" s="1" t="s">
        <v>1177</v>
      </c>
      <c r="B2166" s="1" t="s">
        <v>1178</v>
      </c>
      <c r="C2166" s="1" t="s">
        <v>3799</v>
      </c>
      <c r="D2166" s="1" t="s">
        <v>3804</v>
      </c>
      <c r="E2166" s="1" t="s">
        <v>3805</v>
      </c>
      <c r="F2166" s="3">
        <v>1</v>
      </c>
      <c r="G2166" s="8" t="s">
        <v>2773</v>
      </c>
      <c r="H2166" s="8" t="s">
        <v>5159</v>
      </c>
      <c r="I2166" s="3">
        <v>30</v>
      </c>
      <c r="J2166" s="3" t="s">
        <v>5814</v>
      </c>
      <c r="K2166" s="17" t="str">
        <f>HYPERLINK("http://ictvonline.org/taxonomyHistory.asp?taxnode_id=20172313","ICTVonline=20172313")</f>
        <v>ICTVonline=20172313</v>
      </c>
      <c r="L2166" s="3">
        <v>2165</v>
      </c>
    </row>
    <row r="2167" spans="1:12" x14ac:dyDescent="0.15">
      <c r="A2167" s="1" t="s">
        <v>1177</v>
      </c>
      <c r="B2167" s="1" t="s">
        <v>1178</v>
      </c>
      <c r="C2167" s="1" t="s">
        <v>3799</v>
      </c>
      <c r="D2167" s="1" t="s">
        <v>3804</v>
      </c>
      <c r="E2167" s="1" t="s">
        <v>3806</v>
      </c>
      <c r="F2167" s="3">
        <v>0</v>
      </c>
      <c r="G2167" s="8" t="s">
        <v>2773</v>
      </c>
      <c r="H2167" s="8" t="s">
        <v>5159</v>
      </c>
      <c r="I2167" s="3">
        <v>30</v>
      </c>
      <c r="J2167" s="3" t="s">
        <v>5814</v>
      </c>
      <c r="K2167" s="17" t="str">
        <f>HYPERLINK("http://ictvonline.org/taxonomyHistory.asp?taxnode_id=20172314","ICTVonline=20172314")</f>
        <v>ICTVonline=20172314</v>
      </c>
      <c r="L2167" s="3">
        <v>2166</v>
      </c>
    </row>
    <row r="2168" spans="1:12" x14ac:dyDescent="0.15">
      <c r="A2168" s="1" t="s">
        <v>1177</v>
      </c>
      <c r="B2168" s="1" t="s">
        <v>1178</v>
      </c>
      <c r="C2168" s="1" t="s">
        <v>3799</v>
      </c>
      <c r="D2168" s="1" t="s">
        <v>12</v>
      </c>
      <c r="E2168" s="1" t="s">
        <v>2001</v>
      </c>
      <c r="F2168" s="3">
        <v>1</v>
      </c>
      <c r="G2168" s="8" t="s">
        <v>2773</v>
      </c>
      <c r="H2168" s="8" t="s">
        <v>5161</v>
      </c>
      <c r="I2168" s="3">
        <v>30</v>
      </c>
      <c r="J2168" s="3" t="s">
        <v>5814</v>
      </c>
      <c r="K2168" s="17" t="str">
        <f>HYPERLINK("http://ictvonline.org/taxonomyHistory.asp?taxnode_id=20172316","ICTVonline=20172316")</f>
        <v>ICTVonline=20172316</v>
      </c>
      <c r="L2168" s="3">
        <v>2167</v>
      </c>
    </row>
    <row r="2169" spans="1:12" x14ac:dyDescent="0.15">
      <c r="A2169" s="1" t="s">
        <v>1177</v>
      </c>
      <c r="B2169" s="1" t="s">
        <v>1178</v>
      </c>
      <c r="C2169" s="1" t="s">
        <v>3799</v>
      </c>
      <c r="D2169" s="1" t="s">
        <v>12</v>
      </c>
      <c r="E2169" s="1" t="s">
        <v>3807</v>
      </c>
      <c r="F2169" s="3">
        <v>0</v>
      </c>
      <c r="G2169" s="8" t="s">
        <v>2773</v>
      </c>
      <c r="H2169" s="8" t="s">
        <v>5159</v>
      </c>
      <c r="I2169" s="3">
        <v>30</v>
      </c>
      <c r="J2169" s="3" t="s">
        <v>5814</v>
      </c>
      <c r="K2169" s="17" t="str">
        <f>HYPERLINK("http://ictvonline.org/taxonomyHistory.asp?taxnode_id=20172317","ICTVonline=20172317")</f>
        <v>ICTVonline=20172317</v>
      </c>
      <c r="L2169" s="3">
        <v>2168</v>
      </c>
    </row>
    <row r="2170" spans="1:12" x14ac:dyDescent="0.15">
      <c r="A2170" s="1" t="s">
        <v>1177</v>
      </c>
      <c r="B2170" s="1" t="s">
        <v>1178</v>
      </c>
      <c r="C2170" s="1" t="s">
        <v>3799</v>
      </c>
      <c r="D2170" s="1" t="s">
        <v>351</v>
      </c>
      <c r="E2170" s="1" t="s">
        <v>1471</v>
      </c>
      <c r="F2170" s="3">
        <v>1</v>
      </c>
      <c r="G2170" s="8" t="s">
        <v>2773</v>
      </c>
      <c r="H2170" s="8" t="s">
        <v>5161</v>
      </c>
      <c r="I2170" s="3">
        <v>30</v>
      </c>
      <c r="J2170" s="3" t="s">
        <v>5814</v>
      </c>
      <c r="K2170" s="17" t="str">
        <f>HYPERLINK("http://ictvonline.org/taxonomyHistory.asp?taxnode_id=20172319","ICTVonline=20172319")</f>
        <v>ICTVonline=20172319</v>
      </c>
      <c r="L2170" s="3">
        <v>2169</v>
      </c>
    </row>
    <row r="2171" spans="1:12" x14ac:dyDescent="0.15">
      <c r="A2171" s="1" t="s">
        <v>1177</v>
      </c>
      <c r="B2171" s="1" t="s">
        <v>1178</v>
      </c>
      <c r="C2171" s="1" t="s">
        <v>3799</v>
      </c>
      <c r="D2171" s="1" t="s">
        <v>351</v>
      </c>
      <c r="E2171" s="1" t="s">
        <v>2102</v>
      </c>
      <c r="F2171" s="3">
        <v>0</v>
      </c>
      <c r="G2171" s="8" t="s">
        <v>2773</v>
      </c>
      <c r="H2171" s="8" t="s">
        <v>5161</v>
      </c>
      <c r="I2171" s="3">
        <v>30</v>
      </c>
      <c r="J2171" s="3" t="s">
        <v>5814</v>
      </c>
      <c r="K2171" s="17" t="str">
        <f>HYPERLINK("http://ictvonline.org/taxonomyHistory.asp?taxnode_id=20172320","ICTVonline=20172320")</f>
        <v>ICTVonline=20172320</v>
      </c>
      <c r="L2171" s="3">
        <v>2170</v>
      </c>
    </row>
    <row r="2172" spans="1:12" x14ac:dyDescent="0.15">
      <c r="A2172" s="1" t="s">
        <v>1177</v>
      </c>
      <c r="B2172" s="1" t="s">
        <v>1178</v>
      </c>
      <c r="C2172" s="1" t="s">
        <v>3799</v>
      </c>
      <c r="D2172" s="1" t="s">
        <v>351</v>
      </c>
      <c r="E2172" s="1" t="s">
        <v>2103</v>
      </c>
      <c r="F2172" s="3">
        <v>0</v>
      </c>
      <c r="G2172" s="8" t="s">
        <v>2773</v>
      </c>
      <c r="H2172" s="8" t="s">
        <v>5161</v>
      </c>
      <c r="I2172" s="3">
        <v>30</v>
      </c>
      <c r="J2172" s="3" t="s">
        <v>5814</v>
      </c>
      <c r="K2172" s="17" t="str">
        <f>HYPERLINK("http://ictvonline.org/taxonomyHistory.asp?taxnode_id=20172321","ICTVonline=20172321")</f>
        <v>ICTVonline=20172321</v>
      </c>
      <c r="L2172" s="3">
        <v>2171</v>
      </c>
    </row>
    <row r="2173" spans="1:12" x14ac:dyDescent="0.15">
      <c r="A2173" s="1" t="s">
        <v>1177</v>
      </c>
      <c r="B2173" s="1" t="s">
        <v>1178</v>
      </c>
      <c r="C2173" s="1" t="s">
        <v>3799</v>
      </c>
      <c r="D2173" s="1" t="s">
        <v>351</v>
      </c>
      <c r="E2173" s="1" t="s">
        <v>2104</v>
      </c>
      <c r="F2173" s="3">
        <v>0</v>
      </c>
      <c r="G2173" s="8" t="s">
        <v>2773</v>
      </c>
      <c r="H2173" s="8" t="s">
        <v>5161</v>
      </c>
      <c r="I2173" s="3">
        <v>30</v>
      </c>
      <c r="J2173" s="3" t="s">
        <v>5814</v>
      </c>
      <c r="K2173" s="17" t="str">
        <f>HYPERLINK("http://ictvonline.org/taxonomyHistory.asp?taxnode_id=20172322","ICTVonline=20172322")</f>
        <v>ICTVonline=20172322</v>
      </c>
      <c r="L2173" s="3">
        <v>2172</v>
      </c>
    </row>
    <row r="2174" spans="1:12" x14ac:dyDescent="0.15">
      <c r="A2174" s="1" t="s">
        <v>1177</v>
      </c>
      <c r="B2174" s="1" t="s">
        <v>1178</v>
      </c>
      <c r="C2174" s="1" t="s">
        <v>3799</v>
      </c>
      <c r="D2174" s="1" t="s">
        <v>351</v>
      </c>
      <c r="E2174" s="1" t="s">
        <v>2230</v>
      </c>
      <c r="F2174" s="3">
        <v>0</v>
      </c>
      <c r="G2174" s="8" t="s">
        <v>2773</v>
      </c>
      <c r="H2174" s="8" t="s">
        <v>5161</v>
      </c>
      <c r="I2174" s="3">
        <v>30</v>
      </c>
      <c r="J2174" s="3" t="s">
        <v>5814</v>
      </c>
      <c r="K2174" s="17" t="str">
        <f>HYPERLINK("http://ictvonline.org/taxonomyHistory.asp?taxnode_id=20172323","ICTVonline=20172323")</f>
        <v>ICTVonline=20172323</v>
      </c>
      <c r="L2174" s="3">
        <v>2173</v>
      </c>
    </row>
    <row r="2175" spans="1:12" x14ac:dyDescent="0.15">
      <c r="A2175" s="1" t="s">
        <v>1177</v>
      </c>
      <c r="B2175" s="1" t="s">
        <v>1178</v>
      </c>
      <c r="C2175" s="1" t="s">
        <v>3799</v>
      </c>
      <c r="D2175" s="1" t="s">
        <v>351</v>
      </c>
      <c r="E2175" s="1" t="s">
        <v>2105</v>
      </c>
      <c r="F2175" s="3">
        <v>0</v>
      </c>
      <c r="G2175" s="8" t="s">
        <v>2773</v>
      </c>
      <c r="H2175" s="8" t="s">
        <v>5161</v>
      </c>
      <c r="I2175" s="3">
        <v>30</v>
      </c>
      <c r="J2175" s="3" t="s">
        <v>5814</v>
      </c>
      <c r="K2175" s="17" t="str">
        <f>HYPERLINK("http://ictvonline.org/taxonomyHistory.asp?taxnode_id=20172324","ICTVonline=20172324")</f>
        <v>ICTVonline=20172324</v>
      </c>
      <c r="L2175" s="3">
        <v>2174</v>
      </c>
    </row>
    <row r="2176" spans="1:12" x14ac:dyDescent="0.15">
      <c r="A2176" s="1" t="s">
        <v>1177</v>
      </c>
      <c r="B2176" s="1" t="s">
        <v>1178</v>
      </c>
      <c r="C2176" s="1" t="s">
        <v>3799</v>
      </c>
      <c r="D2176" s="1" t="s">
        <v>351</v>
      </c>
      <c r="E2176" s="1" t="s">
        <v>2231</v>
      </c>
      <c r="F2176" s="3">
        <v>0</v>
      </c>
      <c r="G2176" s="8" t="s">
        <v>2773</v>
      </c>
      <c r="H2176" s="8" t="s">
        <v>5161</v>
      </c>
      <c r="I2176" s="3">
        <v>30</v>
      </c>
      <c r="J2176" s="3" t="s">
        <v>5814</v>
      </c>
      <c r="K2176" s="17" t="str">
        <f>HYPERLINK("http://ictvonline.org/taxonomyHistory.asp?taxnode_id=20172325","ICTVonline=20172325")</f>
        <v>ICTVonline=20172325</v>
      </c>
      <c r="L2176" s="3">
        <v>2175</v>
      </c>
    </row>
    <row r="2177" spans="1:12" x14ac:dyDescent="0.15">
      <c r="A2177" s="1" t="s">
        <v>1177</v>
      </c>
      <c r="B2177" s="1" t="s">
        <v>1178</v>
      </c>
      <c r="C2177" s="1" t="s">
        <v>3799</v>
      </c>
      <c r="D2177" s="1" t="s">
        <v>1658</v>
      </c>
      <c r="E2177" s="1" t="s">
        <v>2234</v>
      </c>
      <c r="F2177" s="3">
        <v>0</v>
      </c>
      <c r="G2177" s="8" t="s">
        <v>2773</v>
      </c>
      <c r="H2177" s="8" t="s">
        <v>5161</v>
      </c>
      <c r="I2177" s="3">
        <v>30</v>
      </c>
      <c r="J2177" s="3" t="s">
        <v>5814</v>
      </c>
      <c r="K2177" s="17" t="str">
        <f>HYPERLINK("http://ictvonline.org/taxonomyHistory.asp?taxnode_id=20172327","ICTVonline=20172327")</f>
        <v>ICTVonline=20172327</v>
      </c>
      <c r="L2177" s="3">
        <v>2176</v>
      </c>
    </row>
    <row r="2178" spans="1:12" x14ac:dyDescent="0.15">
      <c r="A2178" s="1" t="s">
        <v>1177</v>
      </c>
      <c r="B2178" s="1" t="s">
        <v>1178</v>
      </c>
      <c r="C2178" s="1" t="s">
        <v>3799</v>
      </c>
      <c r="D2178" s="1" t="s">
        <v>1658</v>
      </c>
      <c r="E2178" s="1" t="s">
        <v>2310</v>
      </c>
      <c r="F2178" s="3">
        <v>0</v>
      </c>
      <c r="G2178" s="8" t="s">
        <v>2773</v>
      </c>
      <c r="H2178" s="8" t="s">
        <v>5161</v>
      </c>
      <c r="I2178" s="3">
        <v>30</v>
      </c>
      <c r="J2178" s="3" t="s">
        <v>5814</v>
      </c>
      <c r="K2178" s="17" t="str">
        <f>HYPERLINK("http://ictvonline.org/taxonomyHistory.asp?taxnode_id=20172328","ICTVonline=20172328")</f>
        <v>ICTVonline=20172328</v>
      </c>
      <c r="L2178" s="3">
        <v>2177</v>
      </c>
    </row>
    <row r="2179" spans="1:12" x14ac:dyDescent="0.15">
      <c r="A2179" s="1" t="s">
        <v>1177</v>
      </c>
      <c r="B2179" s="1" t="s">
        <v>1178</v>
      </c>
      <c r="C2179" s="1" t="s">
        <v>3799</v>
      </c>
      <c r="D2179" s="1" t="s">
        <v>1658</v>
      </c>
      <c r="E2179" s="1" t="s">
        <v>5824</v>
      </c>
      <c r="F2179" s="3">
        <v>0</v>
      </c>
      <c r="G2179" s="8" t="s">
        <v>2773</v>
      </c>
      <c r="H2179" s="8" t="s">
        <v>5159</v>
      </c>
      <c r="I2179" s="3">
        <v>32</v>
      </c>
      <c r="J2179" s="3" t="s">
        <v>5798</v>
      </c>
      <c r="K2179" s="17" t="str">
        <f>HYPERLINK("http://ictvonline.org/taxonomyHistory.asp?taxnode_id=20175644","ICTVonline=20175644")</f>
        <v>ICTVonline=20175644</v>
      </c>
      <c r="L2179" s="3">
        <v>2178</v>
      </c>
    </row>
    <row r="2180" spans="1:12" x14ac:dyDescent="0.15">
      <c r="A2180" s="1" t="s">
        <v>1177</v>
      </c>
      <c r="B2180" s="1" t="s">
        <v>1178</v>
      </c>
      <c r="C2180" s="1" t="s">
        <v>3799</v>
      </c>
      <c r="D2180" s="1" t="s">
        <v>1658</v>
      </c>
      <c r="E2180" s="1" t="s">
        <v>1659</v>
      </c>
      <c r="F2180" s="3">
        <v>1</v>
      </c>
      <c r="G2180" s="8" t="s">
        <v>2773</v>
      </c>
      <c r="H2180" s="8" t="s">
        <v>5161</v>
      </c>
      <c r="I2180" s="3">
        <v>30</v>
      </c>
      <c r="J2180" s="3" t="s">
        <v>5814</v>
      </c>
      <c r="K2180" s="17" t="str">
        <f>HYPERLINK("http://ictvonline.org/taxonomyHistory.asp?taxnode_id=20172329","ICTVonline=20172329")</f>
        <v>ICTVonline=20172329</v>
      </c>
      <c r="L2180" s="3">
        <v>2179</v>
      </c>
    </row>
    <row r="2181" spans="1:12" x14ac:dyDescent="0.15">
      <c r="A2181" s="1" t="s">
        <v>1177</v>
      </c>
      <c r="B2181" s="1" t="s">
        <v>1178</v>
      </c>
      <c r="C2181" s="1" t="s">
        <v>3799</v>
      </c>
      <c r="D2181" s="1" t="s">
        <v>1658</v>
      </c>
      <c r="E2181" s="1" t="s">
        <v>512</v>
      </c>
      <c r="F2181" s="3">
        <v>0</v>
      </c>
      <c r="G2181" s="8" t="s">
        <v>2773</v>
      </c>
      <c r="H2181" s="8" t="s">
        <v>5161</v>
      </c>
      <c r="I2181" s="3">
        <v>30</v>
      </c>
      <c r="J2181" s="3" t="s">
        <v>5814</v>
      </c>
      <c r="K2181" s="17" t="str">
        <f>HYPERLINK("http://ictvonline.org/taxonomyHistory.asp?taxnode_id=20172330","ICTVonline=20172330")</f>
        <v>ICTVonline=20172330</v>
      </c>
      <c r="L2181" s="3">
        <v>2180</v>
      </c>
    </row>
    <row r="2182" spans="1:12" x14ac:dyDescent="0.15">
      <c r="A2182" s="1" t="s">
        <v>1177</v>
      </c>
      <c r="B2182" s="1" t="s">
        <v>1178</v>
      </c>
      <c r="C2182" s="1" t="s">
        <v>3799</v>
      </c>
      <c r="D2182" s="1" t="s">
        <v>1658</v>
      </c>
      <c r="E2182" s="1" t="s">
        <v>513</v>
      </c>
      <c r="F2182" s="3">
        <v>0</v>
      </c>
      <c r="G2182" s="8" t="s">
        <v>2773</v>
      </c>
      <c r="H2182" s="8" t="s">
        <v>5161</v>
      </c>
      <c r="I2182" s="3">
        <v>30</v>
      </c>
      <c r="J2182" s="3" t="s">
        <v>5814</v>
      </c>
      <c r="K2182" s="17" t="str">
        <f>HYPERLINK("http://ictvonline.org/taxonomyHistory.asp?taxnode_id=20172331","ICTVonline=20172331")</f>
        <v>ICTVonline=20172331</v>
      </c>
      <c r="L2182" s="3">
        <v>2181</v>
      </c>
    </row>
    <row r="2183" spans="1:12" x14ac:dyDescent="0.15">
      <c r="A2183" s="1" t="s">
        <v>1177</v>
      </c>
      <c r="B2183" s="1" t="s">
        <v>1178</v>
      </c>
      <c r="C2183" s="1" t="s">
        <v>3799</v>
      </c>
      <c r="D2183" s="1" t="s">
        <v>1658</v>
      </c>
      <c r="E2183" s="1" t="s">
        <v>1542</v>
      </c>
      <c r="F2183" s="3">
        <v>0</v>
      </c>
      <c r="G2183" s="8" t="s">
        <v>2773</v>
      </c>
      <c r="H2183" s="8" t="s">
        <v>5161</v>
      </c>
      <c r="I2183" s="3">
        <v>30</v>
      </c>
      <c r="J2183" s="3" t="s">
        <v>5814</v>
      </c>
      <c r="K2183" s="17" t="str">
        <f>HYPERLINK("http://ictvonline.org/taxonomyHistory.asp?taxnode_id=20172332","ICTVonline=20172332")</f>
        <v>ICTVonline=20172332</v>
      </c>
      <c r="L2183" s="3">
        <v>2182</v>
      </c>
    </row>
    <row r="2184" spans="1:12" x14ac:dyDescent="0.15">
      <c r="A2184" s="1" t="s">
        <v>1177</v>
      </c>
      <c r="B2184" s="1" t="s">
        <v>1178</v>
      </c>
      <c r="C2184" s="1" t="s">
        <v>3799</v>
      </c>
      <c r="D2184" s="1" t="s">
        <v>1658</v>
      </c>
      <c r="E2184" s="1" t="s">
        <v>2346</v>
      </c>
      <c r="F2184" s="3">
        <v>0</v>
      </c>
      <c r="G2184" s="8" t="s">
        <v>2773</v>
      </c>
      <c r="H2184" s="8" t="s">
        <v>5161</v>
      </c>
      <c r="I2184" s="3">
        <v>30</v>
      </c>
      <c r="J2184" s="3" t="s">
        <v>5814</v>
      </c>
      <c r="K2184" s="17" t="str">
        <f>HYPERLINK("http://ictvonline.org/taxonomyHistory.asp?taxnode_id=20172333","ICTVonline=20172333")</f>
        <v>ICTVonline=20172333</v>
      </c>
      <c r="L2184" s="3">
        <v>2183</v>
      </c>
    </row>
    <row r="2185" spans="1:12" x14ac:dyDescent="0.15">
      <c r="A2185" s="1" t="s">
        <v>1177</v>
      </c>
      <c r="B2185" s="1" t="s">
        <v>1178</v>
      </c>
      <c r="C2185" s="1" t="s">
        <v>3799</v>
      </c>
      <c r="D2185" s="1" t="s">
        <v>1658</v>
      </c>
      <c r="E2185" s="1" t="s">
        <v>2107</v>
      </c>
      <c r="F2185" s="3">
        <v>0</v>
      </c>
      <c r="G2185" s="8" t="s">
        <v>2773</v>
      </c>
      <c r="H2185" s="8" t="s">
        <v>5161</v>
      </c>
      <c r="I2185" s="3">
        <v>30</v>
      </c>
      <c r="J2185" s="3" t="s">
        <v>5814</v>
      </c>
      <c r="K2185" s="17" t="str">
        <f>HYPERLINK("http://ictvonline.org/taxonomyHistory.asp?taxnode_id=20172334","ICTVonline=20172334")</f>
        <v>ICTVonline=20172334</v>
      </c>
      <c r="L2185" s="3">
        <v>2184</v>
      </c>
    </row>
    <row r="2186" spans="1:12" x14ac:dyDescent="0.15">
      <c r="A2186" s="1" t="s">
        <v>1177</v>
      </c>
      <c r="B2186" s="1" t="s">
        <v>1178</v>
      </c>
      <c r="C2186" s="1" t="s">
        <v>3799</v>
      </c>
      <c r="D2186" s="1" t="s">
        <v>1658</v>
      </c>
      <c r="E2186" s="1" t="s">
        <v>2135</v>
      </c>
      <c r="F2186" s="3">
        <v>0</v>
      </c>
      <c r="G2186" s="8" t="s">
        <v>2773</v>
      </c>
      <c r="H2186" s="8" t="s">
        <v>5161</v>
      </c>
      <c r="I2186" s="3">
        <v>30</v>
      </c>
      <c r="J2186" s="3" t="s">
        <v>5814</v>
      </c>
      <c r="K2186" s="17" t="str">
        <f>HYPERLINK("http://ictvonline.org/taxonomyHistory.asp?taxnode_id=20172335","ICTVonline=20172335")</f>
        <v>ICTVonline=20172335</v>
      </c>
      <c r="L2186" s="3">
        <v>2185</v>
      </c>
    </row>
    <row r="2187" spans="1:12" x14ac:dyDescent="0.15">
      <c r="A2187" s="1" t="s">
        <v>1177</v>
      </c>
      <c r="B2187" s="1" t="s">
        <v>5825</v>
      </c>
      <c r="D2187" s="1" t="s">
        <v>5826</v>
      </c>
      <c r="E2187" s="1" t="s">
        <v>5827</v>
      </c>
      <c r="F2187" s="3">
        <v>0</v>
      </c>
      <c r="G2187" s="8" t="s">
        <v>2773</v>
      </c>
      <c r="H2187" s="8" t="s">
        <v>5159</v>
      </c>
      <c r="I2187" s="3">
        <v>32</v>
      </c>
      <c r="J2187" s="3" t="s">
        <v>5828</v>
      </c>
      <c r="K2187" s="17" t="str">
        <f>HYPERLINK("http://ictvonline.org/taxonomyHistory.asp?taxnode_id=20175645","ICTVonline=20175645")</f>
        <v>ICTVonline=20175645</v>
      </c>
      <c r="L2187" s="3">
        <v>2186</v>
      </c>
    </row>
    <row r="2188" spans="1:12" x14ac:dyDescent="0.15">
      <c r="A2188" s="1" t="s">
        <v>1177</v>
      </c>
      <c r="B2188" s="1" t="s">
        <v>5825</v>
      </c>
      <c r="D2188" s="1" t="s">
        <v>5826</v>
      </c>
      <c r="E2188" s="1" t="s">
        <v>5829</v>
      </c>
      <c r="F2188" s="3">
        <v>1</v>
      </c>
      <c r="G2188" s="8" t="s">
        <v>2773</v>
      </c>
      <c r="H2188" s="8" t="s">
        <v>5159</v>
      </c>
      <c r="I2188" s="3">
        <v>32</v>
      </c>
      <c r="J2188" s="3" t="s">
        <v>5828</v>
      </c>
      <c r="K2188" s="17" t="str">
        <f>HYPERLINK("http://ictvonline.org/taxonomyHistory.asp?taxnode_id=20175646","ICTVonline=20175646")</f>
        <v>ICTVonline=20175646</v>
      </c>
      <c r="L2188" s="3">
        <v>2187</v>
      </c>
    </row>
    <row r="2189" spans="1:12" x14ac:dyDescent="0.15">
      <c r="A2189" s="1" t="s">
        <v>1177</v>
      </c>
      <c r="B2189" s="1" t="s">
        <v>5825</v>
      </c>
      <c r="D2189" s="1" t="s">
        <v>5826</v>
      </c>
      <c r="E2189" s="1" t="s">
        <v>5830</v>
      </c>
      <c r="F2189" s="3">
        <v>0</v>
      </c>
      <c r="G2189" s="8" t="s">
        <v>2773</v>
      </c>
      <c r="H2189" s="8" t="s">
        <v>5159</v>
      </c>
      <c r="I2189" s="3">
        <v>32</v>
      </c>
      <c r="J2189" s="3" t="s">
        <v>5828</v>
      </c>
      <c r="K2189" s="17" t="str">
        <f>HYPERLINK("http://ictvonline.org/taxonomyHistory.asp?taxnode_id=20175647","ICTVonline=20175647")</f>
        <v>ICTVonline=20175647</v>
      </c>
      <c r="L2189" s="3">
        <v>2188</v>
      </c>
    </row>
    <row r="2190" spans="1:12" x14ac:dyDescent="0.15">
      <c r="A2190" s="1" t="s">
        <v>1177</v>
      </c>
      <c r="B2190" s="1" t="s">
        <v>1704</v>
      </c>
      <c r="D2190" s="1" t="s">
        <v>298</v>
      </c>
      <c r="E2190" s="1" t="s">
        <v>295</v>
      </c>
      <c r="F2190" s="3">
        <v>1</v>
      </c>
      <c r="G2190" s="8" t="s">
        <v>2773</v>
      </c>
      <c r="H2190" s="8" t="s">
        <v>5164</v>
      </c>
      <c r="I2190" s="3">
        <v>25</v>
      </c>
      <c r="J2190" s="3" t="s">
        <v>5831</v>
      </c>
      <c r="K2190" s="17" t="str">
        <f>HYPERLINK("http://ictvonline.org/taxonomyHistory.asp?taxnode_id=20172340","ICTVonline=20172340")</f>
        <v>ICTVonline=20172340</v>
      </c>
      <c r="L2190" s="3">
        <v>2189</v>
      </c>
    </row>
    <row r="2191" spans="1:12" x14ac:dyDescent="0.15">
      <c r="A2191" s="1" t="s">
        <v>1177</v>
      </c>
      <c r="B2191" s="1" t="s">
        <v>1346</v>
      </c>
      <c r="D2191" s="1" t="s">
        <v>1347</v>
      </c>
      <c r="E2191" s="1" t="s">
        <v>1348</v>
      </c>
      <c r="F2191" s="3">
        <v>1</v>
      </c>
      <c r="G2191" s="8" t="s">
        <v>2773</v>
      </c>
      <c r="H2191" s="8" t="s">
        <v>5161</v>
      </c>
      <c r="I2191" s="3">
        <v>25</v>
      </c>
      <c r="J2191" s="3" t="s">
        <v>5832</v>
      </c>
      <c r="K2191" s="17" t="str">
        <f>HYPERLINK("http://ictvonline.org/taxonomyHistory.asp?taxnode_id=20172344","ICTVonline=20172344")</f>
        <v>ICTVonline=20172344</v>
      </c>
      <c r="L2191" s="3">
        <v>2190</v>
      </c>
    </row>
    <row r="2192" spans="1:12" x14ac:dyDescent="0.15">
      <c r="A2192" s="1" t="s">
        <v>1177</v>
      </c>
      <c r="B2192" s="1" t="s">
        <v>1346</v>
      </c>
      <c r="D2192" s="1" t="s">
        <v>1349</v>
      </c>
      <c r="E2192" s="1" t="s">
        <v>1337</v>
      </c>
      <c r="F2192" s="3">
        <v>0</v>
      </c>
      <c r="G2192" s="8" t="s">
        <v>2773</v>
      </c>
      <c r="H2192" s="8" t="s">
        <v>5161</v>
      </c>
      <c r="I2192" s="3">
        <v>25</v>
      </c>
      <c r="J2192" s="3" t="s">
        <v>5832</v>
      </c>
      <c r="K2192" s="17" t="str">
        <f>HYPERLINK("http://ictvonline.org/taxonomyHistory.asp?taxnode_id=20172346","ICTVonline=20172346")</f>
        <v>ICTVonline=20172346</v>
      </c>
      <c r="L2192" s="3">
        <v>2191</v>
      </c>
    </row>
    <row r="2193" spans="1:12" x14ac:dyDescent="0.15">
      <c r="A2193" s="1" t="s">
        <v>1177</v>
      </c>
      <c r="B2193" s="1" t="s">
        <v>1346</v>
      </c>
      <c r="D2193" s="1" t="s">
        <v>1349</v>
      </c>
      <c r="E2193" s="1" t="s">
        <v>15</v>
      </c>
      <c r="F2193" s="3">
        <v>0</v>
      </c>
      <c r="G2193" s="8" t="s">
        <v>2773</v>
      </c>
      <c r="H2193" s="8" t="s">
        <v>5159</v>
      </c>
      <c r="I2193" s="3">
        <v>26</v>
      </c>
      <c r="J2193" s="3" t="s">
        <v>5833</v>
      </c>
      <c r="K2193" s="17" t="str">
        <f>HYPERLINK("http://ictvonline.org/taxonomyHistory.asp?taxnode_id=20172347","ICTVonline=20172347")</f>
        <v>ICTVonline=20172347</v>
      </c>
      <c r="L2193" s="3">
        <v>2192</v>
      </c>
    </row>
    <row r="2194" spans="1:12" x14ac:dyDescent="0.15">
      <c r="A2194" s="1" t="s">
        <v>1177</v>
      </c>
      <c r="B2194" s="1" t="s">
        <v>1346</v>
      </c>
      <c r="D2194" s="1" t="s">
        <v>1349</v>
      </c>
      <c r="E2194" s="1" t="s">
        <v>1338</v>
      </c>
      <c r="F2194" s="3">
        <v>0</v>
      </c>
      <c r="G2194" s="8" t="s">
        <v>2773</v>
      </c>
      <c r="H2194" s="8" t="s">
        <v>5161</v>
      </c>
      <c r="I2194" s="3">
        <v>25</v>
      </c>
      <c r="J2194" s="3" t="s">
        <v>5832</v>
      </c>
      <c r="K2194" s="17" t="str">
        <f>HYPERLINK("http://ictvonline.org/taxonomyHistory.asp?taxnode_id=20172348","ICTVonline=20172348")</f>
        <v>ICTVonline=20172348</v>
      </c>
      <c r="L2194" s="3">
        <v>2193</v>
      </c>
    </row>
    <row r="2195" spans="1:12" x14ac:dyDescent="0.15">
      <c r="A2195" s="1" t="s">
        <v>1177</v>
      </c>
      <c r="B2195" s="1" t="s">
        <v>1346</v>
      </c>
      <c r="D2195" s="1" t="s">
        <v>1349</v>
      </c>
      <c r="E2195" s="1" t="s">
        <v>5834</v>
      </c>
      <c r="F2195" s="3">
        <v>0</v>
      </c>
      <c r="G2195" s="8" t="s">
        <v>2773</v>
      </c>
      <c r="H2195" s="8" t="s">
        <v>5159</v>
      </c>
      <c r="I2195" s="3">
        <v>32</v>
      </c>
      <c r="J2195" s="3" t="s">
        <v>5835</v>
      </c>
      <c r="K2195" s="17" t="str">
        <f>HYPERLINK("http://ictvonline.org/taxonomyHistory.asp?taxnode_id=20175650","ICTVonline=20175650")</f>
        <v>ICTVonline=20175650</v>
      </c>
      <c r="L2195" s="3">
        <v>2194</v>
      </c>
    </row>
    <row r="2196" spans="1:12" x14ac:dyDescent="0.15">
      <c r="A2196" s="1" t="s">
        <v>1177</v>
      </c>
      <c r="B2196" s="1" t="s">
        <v>1346</v>
      </c>
      <c r="D2196" s="1" t="s">
        <v>1349</v>
      </c>
      <c r="E2196" s="1" t="s">
        <v>16</v>
      </c>
      <c r="F2196" s="3">
        <v>0</v>
      </c>
      <c r="G2196" s="8" t="s">
        <v>2773</v>
      </c>
      <c r="H2196" s="8" t="s">
        <v>5159</v>
      </c>
      <c r="I2196" s="3">
        <v>26</v>
      </c>
      <c r="J2196" s="3" t="s">
        <v>5836</v>
      </c>
      <c r="K2196" s="17" t="str">
        <f>HYPERLINK("http://ictvonline.org/taxonomyHistory.asp?taxnode_id=20172349","ICTVonline=20172349")</f>
        <v>ICTVonline=20172349</v>
      </c>
      <c r="L2196" s="3">
        <v>2195</v>
      </c>
    </row>
    <row r="2197" spans="1:12" x14ac:dyDescent="0.15">
      <c r="A2197" s="1" t="s">
        <v>1177</v>
      </c>
      <c r="B2197" s="1" t="s">
        <v>1346</v>
      </c>
      <c r="D2197" s="1" t="s">
        <v>1349</v>
      </c>
      <c r="E2197" s="1" t="s">
        <v>1339</v>
      </c>
      <c r="F2197" s="3">
        <v>1</v>
      </c>
      <c r="G2197" s="8" t="s">
        <v>2773</v>
      </c>
      <c r="H2197" s="8" t="s">
        <v>5161</v>
      </c>
      <c r="I2197" s="3">
        <v>25</v>
      </c>
      <c r="J2197" s="3" t="s">
        <v>5832</v>
      </c>
      <c r="K2197" s="17" t="str">
        <f>HYPERLINK("http://ictvonline.org/taxonomyHistory.asp?taxnode_id=20172350","ICTVonline=20172350")</f>
        <v>ICTVonline=20172350</v>
      </c>
      <c r="L2197" s="3">
        <v>2196</v>
      </c>
    </row>
    <row r="2198" spans="1:12" x14ac:dyDescent="0.15">
      <c r="A2198" s="1" t="s">
        <v>1177</v>
      </c>
      <c r="B2198" s="1" t="s">
        <v>1346</v>
      </c>
      <c r="D2198" s="1" t="s">
        <v>1349</v>
      </c>
      <c r="E2198" s="1" t="s">
        <v>4845</v>
      </c>
      <c r="F2198" s="3">
        <v>0</v>
      </c>
      <c r="G2198" s="8" t="s">
        <v>2773</v>
      </c>
      <c r="H2198" s="8" t="s">
        <v>5159</v>
      </c>
      <c r="I2198" s="3">
        <v>31</v>
      </c>
      <c r="J2198" s="3" t="s">
        <v>5837</v>
      </c>
      <c r="K2198" s="17" t="str">
        <f>HYPERLINK("http://ictvonline.org/taxonomyHistory.asp?taxnode_id=20172351","ICTVonline=20172351")</f>
        <v>ICTVonline=20172351</v>
      </c>
      <c r="L2198" s="3">
        <v>2197</v>
      </c>
    </row>
    <row r="2199" spans="1:12" x14ac:dyDescent="0.15">
      <c r="A2199" s="1" t="s">
        <v>1177</v>
      </c>
      <c r="B2199" s="1" t="s">
        <v>1346</v>
      </c>
      <c r="D2199" s="1" t="s">
        <v>1349</v>
      </c>
      <c r="E2199" s="1" t="s">
        <v>1340</v>
      </c>
      <c r="F2199" s="3">
        <v>0</v>
      </c>
      <c r="G2199" s="8" t="s">
        <v>2773</v>
      </c>
      <c r="H2199" s="8" t="s">
        <v>5161</v>
      </c>
      <c r="I2199" s="3">
        <v>25</v>
      </c>
      <c r="J2199" s="3" t="s">
        <v>5832</v>
      </c>
      <c r="K2199" s="17" t="str">
        <f>HYPERLINK("http://ictvonline.org/taxonomyHistory.asp?taxnode_id=20172352","ICTVonline=20172352")</f>
        <v>ICTVonline=20172352</v>
      </c>
      <c r="L2199" s="3">
        <v>2198</v>
      </c>
    </row>
    <row r="2200" spans="1:12" x14ac:dyDescent="0.15">
      <c r="A2200" s="1" t="s">
        <v>1177</v>
      </c>
      <c r="B2200" s="1" t="s">
        <v>1346</v>
      </c>
      <c r="D2200" s="1" t="s">
        <v>1349</v>
      </c>
      <c r="E2200" s="1" t="s">
        <v>17</v>
      </c>
      <c r="F2200" s="3">
        <v>0</v>
      </c>
      <c r="G2200" s="8" t="s">
        <v>2773</v>
      </c>
      <c r="H2200" s="8" t="s">
        <v>5159</v>
      </c>
      <c r="I2200" s="3">
        <v>26</v>
      </c>
      <c r="J2200" s="3" t="s">
        <v>5838</v>
      </c>
      <c r="K2200" s="17" t="str">
        <f>HYPERLINK("http://ictvonline.org/taxonomyHistory.asp?taxnode_id=20172353","ICTVonline=20172353")</f>
        <v>ICTVonline=20172353</v>
      </c>
      <c r="L2200" s="3">
        <v>2199</v>
      </c>
    </row>
    <row r="2201" spans="1:12" x14ac:dyDescent="0.15">
      <c r="A2201" s="1" t="s">
        <v>1177</v>
      </c>
      <c r="B2201" s="1" t="s">
        <v>1346</v>
      </c>
      <c r="D2201" s="1" t="s">
        <v>1349</v>
      </c>
      <c r="E2201" s="1" t="s">
        <v>5839</v>
      </c>
      <c r="F2201" s="3">
        <v>0</v>
      </c>
      <c r="G2201" s="8" t="s">
        <v>2773</v>
      </c>
      <c r="H2201" s="8" t="s">
        <v>5159</v>
      </c>
      <c r="I2201" s="3">
        <v>32</v>
      </c>
      <c r="J2201" s="3" t="s">
        <v>5835</v>
      </c>
      <c r="K2201" s="17" t="str">
        <f>HYPERLINK("http://ictvonline.org/taxonomyHistory.asp?taxnode_id=20175651","ICTVonline=20175651")</f>
        <v>ICTVonline=20175651</v>
      </c>
      <c r="L2201" s="3">
        <v>2200</v>
      </c>
    </row>
    <row r="2202" spans="1:12" x14ac:dyDescent="0.15">
      <c r="A2202" s="1" t="s">
        <v>1177</v>
      </c>
      <c r="B2202" s="1" t="s">
        <v>1346</v>
      </c>
      <c r="D2202" s="1" t="s">
        <v>1494</v>
      </c>
      <c r="E2202" s="1" t="s">
        <v>1495</v>
      </c>
      <c r="F2202" s="3">
        <v>0</v>
      </c>
      <c r="G2202" s="8" t="s">
        <v>2773</v>
      </c>
      <c r="H2202" s="8" t="s">
        <v>5161</v>
      </c>
      <c r="I2202" s="3">
        <v>25</v>
      </c>
      <c r="J2202" s="3" t="s">
        <v>5832</v>
      </c>
      <c r="K2202" s="17" t="str">
        <f>HYPERLINK("http://ictvonline.org/taxonomyHistory.asp?taxnode_id=20172355","ICTVonline=20172355")</f>
        <v>ICTVonline=20172355</v>
      </c>
      <c r="L2202" s="3">
        <v>2201</v>
      </c>
    </row>
    <row r="2203" spans="1:12" x14ac:dyDescent="0.15">
      <c r="A2203" s="1" t="s">
        <v>1177</v>
      </c>
      <c r="B2203" s="1" t="s">
        <v>1346</v>
      </c>
      <c r="D2203" s="1" t="s">
        <v>1494</v>
      </c>
      <c r="E2203" s="1" t="s">
        <v>1496</v>
      </c>
      <c r="F2203" s="3">
        <v>0</v>
      </c>
      <c r="G2203" s="8" t="s">
        <v>2773</v>
      </c>
      <c r="H2203" s="8" t="s">
        <v>5161</v>
      </c>
      <c r="I2203" s="3">
        <v>25</v>
      </c>
      <c r="J2203" s="3" t="s">
        <v>5832</v>
      </c>
      <c r="K2203" s="17" t="str">
        <f>HYPERLINK("http://ictvonline.org/taxonomyHistory.asp?taxnode_id=20172356","ICTVonline=20172356")</f>
        <v>ICTVonline=20172356</v>
      </c>
      <c r="L2203" s="3">
        <v>2202</v>
      </c>
    </row>
    <row r="2204" spans="1:12" x14ac:dyDescent="0.15">
      <c r="A2204" s="1" t="s">
        <v>1177</v>
      </c>
      <c r="B2204" s="1" t="s">
        <v>1346</v>
      </c>
      <c r="D2204" s="1" t="s">
        <v>1494</v>
      </c>
      <c r="E2204" s="1" t="s">
        <v>2347</v>
      </c>
      <c r="F2204" s="3">
        <v>0</v>
      </c>
      <c r="G2204" s="8" t="s">
        <v>2773</v>
      </c>
      <c r="H2204" s="8" t="s">
        <v>5159</v>
      </c>
      <c r="I2204" s="3">
        <v>28</v>
      </c>
      <c r="J2204" s="3" t="s">
        <v>5840</v>
      </c>
      <c r="K2204" s="17" t="str">
        <f>HYPERLINK("http://ictvonline.org/taxonomyHistory.asp?taxnode_id=20172357","ICTVonline=20172357")</f>
        <v>ICTVonline=20172357</v>
      </c>
      <c r="L2204" s="3">
        <v>2203</v>
      </c>
    </row>
    <row r="2205" spans="1:12" x14ac:dyDescent="0.15">
      <c r="A2205" s="1" t="s">
        <v>1177</v>
      </c>
      <c r="B2205" s="1" t="s">
        <v>1346</v>
      </c>
      <c r="D2205" s="1" t="s">
        <v>1494</v>
      </c>
      <c r="E2205" s="1" t="s">
        <v>1497</v>
      </c>
      <c r="F2205" s="3">
        <v>0</v>
      </c>
      <c r="G2205" s="8" t="s">
        <v>2773</v>
      </c>
      <c r="H2205" s="8" t="s">
        <v>5161</v>
      </c>
      <c r="I2205" s="3">
        <v>25</v>
      </c>
      <c r="J2205" s="3" t="s">
        <v>5832</v>
      </c>
      <c r="K2205" s="17" t="str">
        <f>HYPERLINK("http://ictvonline.org/taxonomyHistory.asp?taxnode_id=20172358","ICTVonline=20172358")</f>
        <v>ICTVonline=20172358</v>
      </c>
      <c r="L2205" s="3">
        <v>2204</v>
      </c>
    </row>
    <row r="2206" spans="1:12" x14ac:dyDescent="0.15">
      <c r="A2206" s="1" t="s">
        <v>1177</v>
      </c>
      <c r="B2206" s="1" t="s">
        <v>1346</v>
      </c>
      <c r="D2206" s="1" t="s">
        <v>1494</v>
      </c>
      <c r="E2206" s="1" t="s">
        <v>1498</v>
      </c>
      <c r="F2206" s="3">
        <v>0</v>
      </c>
      <c r="G2206" s="8" t="s">
        <v>2773</v>
      </c>
      <c r="H2206" s="8" t="s">
        <v>5161</v>
      </c>
      <c r="I2206" s="3">
        <v>25</v>
      </c>
      <c r="J2206" s="3" t="s">
        <v>5832</v>
      </c>
      <c r="K2206" s="17" t="str">
        <f>HYPERLINK("http://ictvonline.org/taxonomyHistory.asp?taxnode_id=20172359","ICTVonline=20172359")</f>
        <v>ICTVonline=20172359</v>
      </c>
      <c r="L2206" s="3">
        <v>2205</v>
      </c>
    </row>
    <row r="2207" spans="1:12" x14ac:dyDescent="0.15">
      <c r="A2207" s="1" t="s">
        <v>1177</v>
      </c>
      <c r="B2207" s="1" t="s">
        <v>1346</v>
      </c>
      <c r="D2207" s="1" t="s">
        <v>1494</v>
      </c>
      <c r="E2207" s="1" t="s">
        <v>1499</v>
      </c>
      <c r="F2207" s="3">
        <v>0</v>
      </c>
      <c r="G2207" s="8" t="s">
        <v>2773</v>
      </c>
      <c r="H2207" s="8" t="s">
        <v>5161</v>
      </c>
      <c r="I2207" s="3">
        <v>25</v>
      </c>
      <c r="J2207" s="3" t="s">
        <v>5832</v>
      </c>
      <c r="K2207" s="17" t="str">
        <f>HYPERLINK("http://ictvonline.org/taxonomyHistory.asp?taxnode_id=20172360","ICTVonline=20172360")</f>
        <v>ICTVonline=20172360</v>
      </c>
      <c r="L2207" s="3">
        <v>2206</v>
      </c>
    </row>
    <row r="2208" spans="1:12" x14ac:dyDescent="0.15">
      <c r="A2208" s="1" t="s">
        <v>1177</v>
      </c>
      <c r="B2208" s="1" t="s">
        <v>1346</v>
      </c>
      <c r="D2208" s="1" t="s">
        <v>1494</v>
      </c>
      <c r="E2208" s="1" t="s">
        <v>1500</v>
      </c>
      <c r="F2208" s="3">
        <v>0</v>
      </c>
      <c r="G2208" s="8" t="s">
        <v>2773</v>
      </c>
      <c r="H2208" s="8" t="s">
        <v>5161</v>
      </c>
      <c r="I2208" s="3">
        <v>25</v>
      </c>
      <c r="J2208" s="3" t="s">
        <v>5832</v>
      </c>
      <c r="K2208" s="17" t="str">
        <f>HYPERLINK("http://ictvonline.org/taxonomyHistory.asp?taxnode_id=20172361","ICTVonline=20172361")</f>
        <v>ICTVonline=20172361</v>
      </c>
      <c r="L2208" s="3">
        <v>2207</v>
      </c>
    </row>
    <row r="2209" spans="1:12" x14ac:dyDescent="0.15">
      <c r="A2209" s="1" t="s">
        <v>1177</v>
      </c>
      <c r="B2209" s="1" t="s">
        <v>1346</v>
      </c>
      <c r="D2209" s="1" t="s">
        <v>1494</v>
      </c>
      <c r="E2209" s="1" t="s">
        <v>18</v>
      </c>
      <c r="F2209" s="3">
        <v>0</v>
      </c>
      <c r="G2209" s="8" t="s">
        <v>2773</v>
      </c>
      <c r="H2209" s="8" t="s">
        <v>5159</v>
      </c>
      <c r="I2209" s="3">
        <v>26</v>
      </c>
      <c r="J2209" s="3" t="s">
        <v>5841</v>
      </c>
      <c r="K2209" s="17" t="str">
        <f>HYPERLINK("http://ictvonline.org/taxonomyHistory.asp?taxnode_id=20172362","ICTVonline=20172362")</f>
        <v>ICTVonline=20172362</v>
      </c>
      <c r="L2209" s="3">
        <v>2208</v>
      </c>
    </row>
    <row r="2210" spans="1:12" x14ac:dyDescent="0.15">
      <c r="A2210" s="1" t="s">
        <v>1177</v>
      </c>
      <c r="B2210" s="1" t="s">
        <v>1346</v>
      </c>
      <c r="D2210" s="1" t="s">
        <v>1494</v>
      </c>
      <c r="E2210" s="1" t="s">
        <v>1501</v>
      </c>
      <c r="F2210" s="3">
        <v>0</v>
      </c>
      <c r="G2210" s="8" t="s">
        <v>2773</v>
      </c>
      <c r="H2210" s="8" t="s">
        <v>5161</v>
      </c>
      <c r="I2210" s="3">
        <v>25</v>
      </c>
      <c r="J2210" s="3" t="s">
        <v>5832</v>
      </c>
      <c r="K2210" s="17" t="str">
        <f>HYPERLINK("http://ictvonline.org/taxonomyHistory.asp?taxnode_id=20172363","ICTVonline=20172363")</f>
        <v>ICTVonline=20172363</v>
      </c>
      <c r="L2210" s="3">
        <v>2209</v>
      </c>
    </row>
    <row r="2211" spans="1:12" x14ac:dyDescent="0.15">
      <c r="A2211" s="1" t="s">
        <v>1177</v>
      </c>
      <c r="B2211" s="1" t="s">
        <v>1346</v>
      </c>
      <c r="D2211" s="1" t="s">
        <v>1494</v>
      </c>
      <c r="E2211" s="1" t="s">
        <v>1472</v>
      </c>
      <c r="F2211" s="3">
        <v>0</v>
      </c>
      <c r="G2211" s="8" t="s">
        <v>2773</v>
      </c>
      <c r="H2211" s="8" t="s">
        <v>5161</v>
      </c>
      <c r="I2211" s="3">
        <v>25</v>
      </c>
      <c r="J2211" s="3" t="s">
        <v>5832</v>
      </c>
      <c r="K2211" s="17" t="str">
        <f>HYPERLINK("http://ictvonline.org/taxonomyHistory.asp?taxnode_id=20172364","ICTVonline=20172364")</f>
        <v>ICTVonline=20172364</v>
      </c>
      <c r="L2211" s="3">
        <v>2210</v>
      </c>
    </row>
    <row r="2212" spans="1:12" x14ac:dyDescent="0.15">
      <c r="A2212" s="1" t="s">
        <v>1177</v>
      </c>
      <c r="B2212" s="1" t="s">
        <v>1346</v>
      </c>
      <c r="D2212" s="1" t="s">
        <v>1494</v>
      </c>
      <c r="E2212" s="1" t="s">
        <v>1473</v>
      </c>
      <c r="F2212" s="3">
        <v>0</v>
      </c>
      <c r="G2212" s="8" t="s">
        <v>2773</v>
      </c>
      <c r="H2212" s="8" t="s">
        <v>5161</v>
      </c>
      <c r="I2212" s="3">
        <v>25</v>
      </c>
      <c r="J2212" s="3" t="s">
        <v>5832</v>
      </c>
      <c r="K2212" s="17" t="str">
        <f>HYPERLINK("http://ictvonline.org/taxonomyHistory.asp?taxnode_id=20172365","ICTVonline=20172365")</f>
        <v>ICTVonline=20172365</v>
      </c>
      <c r="L2212" s="3">
        <v>2211</v>
      </c>
    </row>
    <row r="2213" spans="1:12" x14ac:dyDescent="0.15">
      <c r="A2213" s="1" t="s">
        <v>1177</v>
      </c>
      <c r="B2213" s="1" t="s">
        <v>1346</v>
      </c>
      <c r="D2213" s="1" t="s">
        <v>1494</v>
      </c>
      <c r="E2213" s="1" t="s">
        <v>1474</v>
      </c>
      <c r="F2213" s="3">
        <v>0</v>
      </c>
      <c r="G2213" s="8" t="s">
        <v>2773</v>
      </c>
      <c r="H2213" s="8" t="s">
        <v>5161</v>
      </c>
      <c r="I2213" s="3">
        <v>25</v>
      </c>
      <c r="J2213" s="3" t="s">
        <v>5832</v>
      </c>
      <c r="K2213" s="17" t="str">
        <f>HYPERLINK("http://ictvonline.org/taxonomyHistory.asp?taxnode_id=20172366","ICTVonline=20172366")</f>
        <v>ICTVonline=20172366</v>
      </c>
      <c r="L2213" s="3">
        <v>2212</v>
      </c>
    </row>
    <row r="2214" spans="1:12" x14ac:dyDescent="0.15">
      <c r="A2214" s="1" t="s">
        <v>1177</v>
      </c>
      <c r="B2214" s="1" t="s">
        <v>1346</v>
      </c>
      <c r="D2214" s="1" t="s">
        <v>1494</v>
      </c>
      <c r="E2214" s="1" t="s">
        <v>1475</v>
      </c>
      <c r="F2214" s="3">
        <v>0</v>
      </c>
      <c r="G2214" s="8" t="s">
        <v>2773</v>
      </c>
      <c r="H2214" s="8" t="s">
        <v>5161</v>
      </c>
      <c r="I2214" s="3">
        <v>25</v>
      </c>
      <c r="J2214" s="3" t="s">
        <v>5832</v>
      </c>
      <c r="K2214" s="17" t="str">
        <f>HYPERLINK("http://ictvonline.org/taxonomyHistory.asp?taxnode_id=20172367","ICTVonline=20172367")</f>
        <v>ICTVonline=20172367</v>
      </c>
      <c r="L2214" s="3">
        <v>2213</v>
      </c>
    </row>
    <row r="2215" spans="1:12" x14ac:dyDescent="0.15">
      <c r="A2215" s="1" t="s">
        <v>1177</v>
      </c>
      <c r="B2215" s="1" t="s">
        <v>1346</v>
      </c>
      <c r="D2215" s="1" t="s">
        <v>1494</v>
      </c>
      <c r="E2215" s="1" t="s">
        <v>364</v>
      </c>
      <c r="F2215" s="3">
        <v>0</v>
      </c>
      <c r="G2215" s="8" t="s">
        <v>2773</v>
      </c>
      <c r="H2215" s="8" t="s">
        <v>5161</v>
      </c>
      <c r="I2215" s="3">
        <v>25</v>
      </c>
      <c r="J2215" s="3" t="s">
        <v>5832</v>
      </c>
      <c r="K2215" s="17" t="str">
        <f>HYPERLINK("http://ictvonline.org/taxonomyHistory.asp?taxnode_id=20172368","ICTVonline=20172368")</f>
        <v>ICTVonline=20172368</v>
      </c>
      <c r="L2215" s="3">
        <v>2214</v>
      </c>
    </row>
    <row r="2216" spans="1:12" x14ac:dyDescent="0.15">
      <c r="A2216" s="1" t="s">
        <v>1177</v>
      </c>
      <c r="B2216" s="1" t="s">
        <v>1346</v>
      </c>
      <c r="D2216" s="1" t="s">
        <v>1494</v>
      </c>
      <c r="E2216" s="1" t="s">
        <v>365</v>
      </c>
      <c r="F2216" s="3">
        <v>0</v>
      </c>
      <c r="G2216" s="8" t="s">
        <v>2773</v>
      </c>
      <c r="H2216" s="8" t="s">
        <v>5161</v>
      </c>
      <c r="I2216" s="3">
        <v>25</v>
      </c>
      <c r="J2216" s="3" t="s">
        <v>5832</v>
      </c>
      <c r="K2216" s="17" t="str">
        <f>HYPERLINK("http://ictvonline.org/taxonomyHistory.asp?taxnode_id=20172369","ICTVonline=20172369")</f>
        <v>ICTVonline=20172369</v>
      </c>
      <c r="L2216" s="3">
        <v>2215</v>
      </c>
    </row>
    <row r="2217" spans="1:12" x14ac:dyDescent="0.15">
      <c r="A2217" s="1" t="s">
        <v>1177</v>
      </c>
      <c r="B2217" s="1" t="s">
        <v>1346</v>
      </c>
      <c r="D2217" s="1" t="s">
        <v>1494</v>
      </c>
      <c r="E2217" s="1" t="s">
        <v>366</v>
      </c>
      <c r="F2217" s="3">
        <v>0</v>
      </c>
      <c r="G2217" s="8" t="s">
        <v>2773</v>
      </c>
      <c r="H2217" s="8" t="s">
        <v>5161</v>
      </c>
      <c r="I2217" s="3">
        <v>25</v>
      </c>
      <c r="J2217" s="3" t="s">
        <v>5832</v>
      </c>
      <c r="K2217" s="17" t="str">
        <f>HYPERLINK("http://ictvonline.org/taxonomyHistory.asp?taxnode_id=20172370","ICTVonline=20172370")</f>
        <v>ICTVonline=20172370</v>
      </c>
      <c r="L2217" s="3">
        <v>2216</v>
      </c>
    </row>
    <row r="2218" spans="1:12" x14ac:dyDescent="0.15">
      <c r="A2218" s="1" t="s">
        <v>1177</v>
      </c>
      <c r="B2218" s="1" t="s">
        <v>1346</v>
      </c>
      <c r="D2218" s="1" t="s">
        <v>1494</v>
      </c>
      <c r="E2218" s="1" t="s">
        <v>1479</v>
      </c>
      <c r="F2218" s="3">
        <v>0</v>
      </c>
      <c r="G2218" s="8" t="s">
        <v>2773</v>
      </c>
      <c r="H2218" s="8" t="s">
        <v>5161</v>
      </c>
      <c r="I2218" s="3">
        <v>25</v>
      </c>
      <c r="J2218" s="3" t="s">
        <v>5832</v>
      </c>
      <c r="K2218" s="17" t="str">
        <f>HYPERLINK("http://ictvonline.org/taxonomyHistory.asp?taxnode_id=20172371","ICTVonline=20172371")</f>
        <v>ICTVonline=20172371</v>
      </c>
      <c r="L2218" s="3">
        <v>2217</v>
      </c>
    </row>
    <row r="2219" spans="1:12" x14ac:dyDescent="0.15">
      <c r="A2219" s="1" t="s">
        <v>1177</v>
      </c>
      <c r="B2219" s="1" t="s">
        <v>1346</v>
      </c>
      <c r="D2219" s="1" t="s">
        <v>1494</v>
      </c>
      <c r="E2219" s="1" t="s">
        <v>1480</v>
      </c>
      <c r="F2219" s="3">
        <v>0</v>
      </c>
      <c r="G2219" s="8" t="s">
        <v>2773</v>
      </c>
      <c r="H2219" s="8" t="s">
        <v>5161</v>
      </c>
      <c r="I2219" s="3">
        <v>25</v>
      </c>
      <c r="J2219" s="3" t="s">
        <v>5832</v>
      </c>
      <c r="K2219" s="17" t="str">
        <f>HYPERLINK("http://ictvonline.org/taxonomyHistory.asp?taxnode_id=20172372","ICTVonline=20172372")</f>
        <v>ICTVonline=20172372</v>
      </c>
      <c r="L2219" s="3">
        <v>2218</v>
      </c>
    </row>
    <row r="2220" spans="1:12" x14ac:dyDescent="0.15">
      <c r="A2220" s="1" t="s">
        <v>1177</v>
      </c>
      <c r="B2220" s="1" t="s">
        <v>1346</v>
      </c>
      <c r="D2220" s="1" t="s">
        <v>1494</v>
      </c>
      <c r="E2220" s="1" t="s">
        <v>368</v>
      </c>
      <c r="F2220" s="3">
        <v>0</v>
      </c>
      <c r="G2220" s="8" t="s">
        <v>2773</v>
      </c>
      <c r="H2220" s="8" t="s">
        <v>5161</v>
      </c>
      <c r="I2220" s="3">
        <v>25</v>
      </c>
      <c r="J2220" s="3" t="s">
        <v>5832</v>
      </c>
      <c r="K2220" s="17" t="str">
        <f>HYPERLINK("http://ictvonline.org/taxonomyHistory.asp?taxnode_id=20172373","ICTVonline=20172373")</f>
        <v>ICTVonline=20172373</v>
      </c>
      <c r="L2220" s="3">
        <v>2219</v>
      </c>
    </row>
    <row r="2221" spans="1:12" x14ac:dyDescent="0.15">
      <c r="A2221" s="1" t="s">
        <v>1177</v>
      </c>
      <c r="B2221" s="1" t="s">
        <v>1346</v>
      </c>
      <c r="D2221" s="1" t="s">
        <v>1494</v>
      </c>
      <c r="E2221" s="1" t="s">
        <v>369</v>
      </c>
      <c r="F2221" s="3">
        <v>0</v>
      </c>
      <c r="G2221" s="8" t="s">
        <v>2773</v>
      </c>
      <c r="H2221" s="8" t="s">
        <v>5161</v>
      </c>
      <c r="I2221" s="3">
        <v>25</v>
      </c>
      <c r="J2221" s="3" t="s">
        <v>5832</v>
      </c>
      <c r="K2221" s="17" t="str">
        <f>HYPERLINK("http://ictvonline.org/taxonomyHistory.asp?taxnode_id=20172374","ICTVonline=20172374")</f>
        <v>ICTVonline=20172374</v>
      </c>
      <c r="L2221" s="3">
        <v>2220</v>
      </c>
    </row>
    <row r="2222" spans="1:12" x14ac:dyDescent="0.15">
      <c r="A2222" s="1" t="s">
        <v>1177</v>
      </c>
      <c r="B2222" s="1" t="s">
        <v>1346</v>
      </c>
      <c r="D2222" s="1" t="s">
        <v>1494</v>
      </c>
      <c r="E2222" s="1" t="s">
        <v>370</v>
      </c>
      <c r="F2222" s="3">
        <v>0</v>
      </c>
      <c r="G2222" s="8" t="s">
        <v>2773</v>
      </c>
      <c r="H2222" s="8" t="s">
        <v>5161</v>
      </c>
      <c r="I2222" s="3">
        <v>25</v>
      </c>
      <c r="J2222" s="3" t="s">
        <v>5832</v>
      </c>
      <c r="K2222" s="17" t="str">
        <f>HYPERLINK("http://ictvonline.org/taxonomyHistory.asp?taxnode_id=20172375","ICTVonline=20172375")</f>
        <v>ICTVonline=20172375</v>
      </c>
      <c r="L2222" s="3">
        <v>2221</v>
      </c>
    </row>
    <row r="2223" spans="1:12" x14ac:dyDescent="0.15">
      <c r="A2223" s="1" t="s">
        <v>1177</v>
      </c>
      <c r="B2223" s="1" t="s">
        <v>1346</v>
      </c>
      <c r="D2223" s="1" t="s">
        <v>1494</v>
      </c>
      <c r="E2223" s="1" t="s">
        <v>371</v>
      </c>
      <c r="F2223" s="3">
        <v>0</v>
      </c>
      <c r="G2223" s="8" t="s">
        <v>2773</v>
      </c>
      <c r="H2223" s="8" t="s">
        <v>5161</v>
      </c>
      <c r="I2223" s="3">
        <v>25</v>
      </c>
      <c r="J2223" s="3" t="s">
        <v>5832</v>
      </c>
      <c r="K2223" s="17" t="str">
        <f>HYPERLINK("http://ictvonline.org/taxonomyHistory.asp?taxnode_id=20172376","ICTVonline=20172376")</f>
        <v>ICTVonline=20172376</v>
      </c>
      <c r="L2223" s="3">
        <v>2222</v>
      </c>
    </row>
    <row r="2224" spans="1:12" x14ac:dyDescent="0.15">
      <c r="A2224" s="1" t="s">
        <v>1177</v>
      </c>
      <c r="B2224" s="1" t="s">
        <v>1346</v>
      </c>
      <c r="D2224" s="1" t="s">
        <v>1494</v>
      </c>
      <c r="E2224" s="1" t="s">
        <v>372</v>
      </c>
      <c r="F2224" s="3">
        <v>0</v>
      </c>
      <c r="G2224" s="8" t="s">
        <v>2773</v>
      </c>
      <c r="H2224" s="8" t="s">
        <v>5161</v>
      </c>
      <c r="I2224" s="3">
        <v>25</v>
      </c>
      <c r="J2224" s="3" t="s">
        <v>5832</v>
      </c>
      <c r="K2224" s="17" t="str">
        <f>HYPERLINK("http://ictvonline.org/taxonomyHistory.asp?taxnode_id=20172377","ICTVonline=20172377")</f>
        <v>ICTVonline=20172377</v>
      </c>
      <c r="L2224" s="3">
        <v>2223</v>
      </c>
    </row>
    <row r="2225" spans="1:12" x14ac:dyDescent="0.15">
      <c r="A2225" s="1" t="s">
        <v>1177</v>
      </c>
      <c r="B2225" s="1" t="s">
        <v>1346</v>
      </c>
      <c r="D2225" s="1" t="s">
        <v>1494</v>
      </c>
      <c r="E2225" s="1" t="s">
        <v>246</v>
      </c>
      <c r="F2225" s="3">
        <v>0</v>
      </c>
      <c r="G2225" s="8" t="s">
        <v>2773</v>
      </c>
      <c r="H2225" s="8" t="s">
        <v>5161</v>
      </c>
      <c r="I2225" s="3">
        <v>25</v>
      </c>
      <c r="J2225" s="3" t="s">
        <v>5832</v>
      </c>
      <c r="K2225" s="17" t="str">
        <f>HYPERLINK("http://ictvonline.org/taxonomyHistory.asp?taxnode_id=20172378","ICTVonline=20172378")</f>
        <v>ICTVonline=20172378</v>
      </c>
      <c r="L2225" s="3">
        <v>2224</v>
      </c>
    </row>
    <row r="2226" spans="1:12" x14ac:dyDescent="0.15">
      <c r="A2226" s="1" t="s">
        <v>1177</v>
      </c>
      <c r="B2226" s="1" t="s">
        <v>1346</v>
      </c>
      <c r="D2226" s="1" t="s">
        <v>1494</v>
      </c>
      <c r="E2226" s="1" t="s">
        <v>4846</v>
      </c>
      <c r="F2226" s="3">
        <v>0</v>
      </c>
      <c r="G2226" s="8" t="s">
        <v>2773</v>
      </c>
      <c r="H2226" s="8" t="s">
        <v>5159</v>
      </c>
      <c r="I2226" s="3">
        <v>31</v>
      </c>
      <c r="J2226" s="3" t="s">
        <v>5837</v>
      </c>
      <c r="K2226" s="17" t="str">
        <f>HYPERLINK("http://ictvonline.org/taxonomyHistory.asp?taxnode_id=20172379","ICTVonline=20172379")</f>
        <v>ICTVonline=20172379</v>
      </c>
      <c r="L2226" s="3">
        <v>2225</v>
      </c>
    </row>
    <row r="2227" spans="1:12" x14ac:dyDescent="0.15">
      <c r="A2227" s="1" t="s">
        <v>1177</v>
      </c>
      <c r="B2227" s="1" t="s">
        <v>1346</v>
      </c>
      <c r="D2227" s="1" t="s">
        <v>1494</v>
      </c>
      <c r="E2227" s="1" t="s">
        <v>1261</v>
      </c>
      <c r="F2227" s="3">
        <v>1</v>
      </c>
      <c r="G2227" s="8" t="s">
        <v>2773</v>
      </c>
      <c r="H2227" s="8" t="s">
        <v>5161</v>
      </c>
      <c r="I2227" s="3">
        <v>25</v>
      </c>
      <c r="J2227" s="3" t="s">
        <v>5832</v>
      </c>
      <c r="K2227" s="17" t="str">
        <f>HYPERLINK("http://ictvonline.org/taxonomyHistory.asp?taxnode_id=20172380","ICTVonline=20172380")</f>
        <v>ICTVonline=20172380</v>
      </c>
      <c r="L2227" s="3">
        <v>2226</v>
      </c>
    </row>
    <row r="2228" spans="1:12" x14ac:dyDescent="0.15">
      <c r="A2228" s="1" t="s">
        <v>1177</v>
      </c>
      <c r="B2228" s="1" t="s">
        <v>1346</v>
      </c>
      <c r="D2228" s="1" t="s">
        <v>1494</v>
      </c>
      <c r="E2228" s="1" t="s">
        <v>1262</v>
      </c>
      <c r="F2228" s="3">
        <v>0</v>
      </c>
      <c r="G2228" s="8" t="s">
        <v>2773</v>
      </c>
      <c r="H2228" s="8" t="s">
        <v>5161</v>
      </c>
      <c r="I2228" s="3">
        <v>25</v>
      </c>
      <c r="J2228" s="3" t="s">
        <v>5832</v>
      </c>
      <c r="K2228" s="17" t="str">
        <f>HYPERLINK("http://ictvonline.org/taxonomyHistory.asp?taxnode_id=20172381","ICTVonline=20172381")</f>
        <v>ICTVonline=20172381</v>
      </c>
      <c r="L2228" s="3">
        <v>2227</v>
      </c>
    </row>
    <row r="2229" spans="1:12" x14ac:dyDescent="0.15">
      <c r="A2229" s="1" t="s">
        <v>1177</v>
      </c>
      <c r="B2229" s="1" t="s">
        <v>1346</v>
      </c>
      <c r="D2229" s="1" t="s">
        <v>1494</v>
      </c>
      <c r="E2229" s="1" t="s">
        <v>1263</v>
      </c>
      <c r="F2229" s="3">
        <v>0</v>
      </c>
      <c r="G2229" s="8" t="s">
        <v>2773</v>
      </c>
      <c r="H2229" s="8" t="s">
        <v>5161</v>
      </c>
      <c r="I2229" s="3">
        <v>25</v>
      </c>
      <c r="J2229" s="3" t="s">
        <v>5832</v>
      </c>
      <c r="K2229" s="17" t="str">
        <f>HYPERLINK("http://ictvonline.org/taxonomyHistory.asp?taxnode_id=20172382","ICTVonline=20172382")</f>
        <v>ICTVonline=20172382</v>
      </c>
      <c r="L2229" s="3">
        <v>2228</v>
      </c>
    </row>
    <row r="2230" spans="1:12" x14ac:dyDescent="0.15">
      <c r="A2230" s="1" t="s">
        <v>1177</v>
      </c>
      <c r="B2230" s="1" t="s">
        <v>1346</v>
      </c>
      <c r="D2230" s="1" t="s">
        <v>908</v>
      </c>
      <c r="E2230" s="1" t="s">
        <v>13</v>
      </c>
      <c r="F2230" s="3">
        <v>0</v>
      </c>
      <c r="G2230" s="8" t="s">
        <v>2773</v>
      </c>
      <c r="H2230" s="8" t="s">
        <v>5159</v>
      </c>
      <c r="I2230" s="3">
        <v>26</v>
      </c>
      <c r="J2230" s="3" t="s">
        <v>5842</v>
      </c>
      <c r="K2230" s="17" t="str">
        <f>HYPERLINK("http://ictvonline.org/taxonomyHistory.asp?taxnode_id=20172384","ICTVonline=20172384")</f>
        <v>ICTVonline=20172384</v>
      </c>
      <c r="L2230" s="3">
        <v>2229</v>
      </c>
    </row>
    <row r="2231" spans="1:12" x14ac:dyDescent="0.15">
      <c r="A2231" s="1" t="s">
        <v>1177</v>
      </c>
      <c r="B2231" s="1" t="s">
        <v>1346</v>
      </c>
      <c r="D2231" s="1" t="s">
        <v>908</v>
      </c>
      <c r="E2231" s="1" t="s">
        <v>14</v>
      </c>
      <c r="F2231" s="3">
        <v>0</v>
      </c>
      <c r="G2231" s="8" t="s">
        <v>2773</v>
      </c>
      <c r="H2231" s="8" t="s">
        <v>5159</v>
      </c>
      <c r="I2231" s="3">
        <v>26</v>
      </c>
      <c r="J2231" s="3" t="s">
        <v>5843</v>
      </c>
      <c r="K2231" s="17" t="str">
        <f>HYPERLINK("http://ictvonline.org/taxonomyHistory.asp?taxnode_id=20172385","ICTVonline=20172385")</f>
        <v>ICTVonline=20172385</v>
      </c>
      <c r="L2231" s="3">
        <v>2230</v>
      </c>
    </row>
    <row r="2232" spans="1:12" x14ac:dyDescent="0.15">
      <c r="A2232" s="1" t="s">
        <v>908</v>
      </c>
      <c r="B2232" s="1" t="s">
        <v>1798</v>
      </c>
      <c r="D2232" s="1" t="s">
        <v>1799</v>
      </c>
      <c r="E2232" s="1" t="s">
        <v>2348</v>
      </c>
      <c r="F2232" s="3">
        <v>0</v>
      </c>
      <c r="G2232" s="8" t="s">
        <v>2771</v>
      </c>
      <c r="H2232" s="8" t="s">
        <v>5162</v>
      </c>
      <c r="I2232" s="3">
        <v>28</v>
      </c>
      <c r="J2232" s="3" t="s">
        <v>5844</v>
      </c>
      <c r="K2232" s="17" t="str">
        <f>HYPERLINK("http://ictvonline.org/taxonomyHistory.asp?taxnode_id=20172390","ICTVonline=20172390")</f>
        <v>ICTVonline=20172390</v>
      </c>
      <c r="L2232" s="3">
        <v>2231</v>
      </c>
    </row>
    <row r="2233" spans="1:12" x14ac:dyDescent="0.15">
      <c r="A2233" s="1" t="s">
        <v>908</v>
      </c>
      <c r="B2233" s="1" t="s">
        <v>1798</v>
      </c>
      <c r="D2233" s="1" t="s">
        <v>1799</v>
      </c>
      <c r="E2233" s="1" t="s">
        <v>5845</v>
      </c>
      <c r="F2233" s="3">
        <v>0</v>
      </c>
      <c r="G2233" s="8" t="s">
        <v>2771</v>
      </c>
      <c r="H2233" s="8" t="s">
        <v>5159</v>
      </c>
      <c r="I2233" s="3">
        <v>32</v>
      </c>
      <c r="J2233" s="3" t="s">
        <v>5846</v>
      </c>
      <c r="K2233" s="17" t="str">
        <f>HYPERLINK("http://ictvonline.org/taxonomyHistory.asp?taxnode_id=20175652","ICTVonline=20175652")</f>
        <v>ICTVonline=20175652</v>
      </c>
      <c r="L2233" s="3">
        <v>2232</v>
      </c>
    </row>
    <row r="2234" spans="1:12" x14ac:dyDescent="0.15">
      <c r="A2234" s="1" t="s">
        <v>908</v>
      </c>
      <c r="B2234" s="1" t="s">
        <v>1798</v>
      </c>
      <c r="D2234" s="1" t="s">
        <v>1799</v>
      </c>
      <c r="E2234" s="1" t="s">
        <v>2349</v>
      </c>
      <c r="F2234" s="3">
        <v>0</v>
      </c>
      <c r="G2234" s="8" t="s">
        <v>2771</v>
      </c>
      <c r="H2234" s="8" t="s">
        <v>5162</v>
      </c>
      <c r="I2234" s="3">
        <v>28</v>
      </c>
      <c r="J2234" s="3" t="s">
        <v>5844</v>
      </c>
      <c r="K2234" s="17" t="str">
        <f>HYPERLINK("http://ictvonline.org/taxonomyHistory.asp?taxnode_id=20172391","ICTVonline=20172391")</f>
        <v>ICTVonline=20172391</v>
      </c>
      <c r="L2234" s="3">
        <v>2233</v>
      </c>
    </row>
    <row r="2235" spans="1:12" x14ac:dyDescent="0.15">
      <c r="A2235" s="1" t="s">
        <v>908</v>
      </c>
      <c r="B2235" s="1" t="s">
        <v>1798</v>
      </c>
      <c r="D2235" s="1" t="s">
        <v>1799</v>
      </c>
      <c r="E2235" s="1" t="s">
        <v>4847</v>
      </c>
      <c r="F2235" s="3">
        <v>0</v>
      </c>
      <c r="G2235" s="8" t="s">
        <v>2771</v>
      </c>
      <c r="H2235" s="8" t="s">
        <v>5159</v>
      </c>
      <c r="I2235" s="3">
        <v>31</v>
      </c>
      <c r="J2235" s="3" t="s">
        <v>5847</v>
      </c>
      <c r="K2235" s="17" t="str">
        <f>HYPERLINK("http://ictvonline.org/taxonomyHistory.asp?taxnode_id=20172392","ICTVonline=20172392")</f>
        <v>ICTVonline=20172392</v>
      </c>
      <c r="L2235" s="3">
        <v>2234</v>
      </c>
    </row>
    <row r="2236" spans="1:12" x14ac:dyDescent="0.15">
      <c r="A2236" s="1" t="s">
        <v>908</v>
      </c>
      <c r="B2236" s="1" t="s">
        <v>1798</v>
      </c>
      <c r="D2236" s="1" t="s">
        <v>1799</v>
      </c>
      <c r="E2236" s="1" t="s">
        <v>2350</v>
      </c>
      <c r="F2236" s="3">
        <v>1</v>
      </c>
      <c r="G2236" s="8" t="s">
        <v>2771</v>
      </c>
      <c r="H2236" s="8" t="s">
        <v>5162</v>
      </c>
      <c r="I2236" s="3">
        <v>28</v>
      </c>
      <c r="J2236" s="3" t="s">
        <v>5844</v>
      </c>
      <c r="K2236" s="17" t="str">
        <f>HYPERLINK("http://ictvonline.org/taxonomyHistory.asp?taxnode_id=20172393","ICTVonline=20172393")</f>
        <v>ICTVonline=20172393</v>
      </c>
      <c r="L2236" s="3">
        <v>2235</v>
      </c>
    </row>
    <row r="2237" spans="1:12" x14ac:dyDescent="0.15">
      <c r="A2237" s="1" t="s">
        <v>908</v>
      </c>
      <c r="B2237" s="1" t="s">
        <v>1798</v>
      </c>
      <c r="D2237" s="1" t="s">
        <v>1799</v>
      </c>
      <c r="E2237" s="1" t="s">
        <v>2351</v>
      </c>
      <c r="F2237" s="3">
        <v>0</v>
      </c>
      <c r="G2237" s="8" t="s">
        <v>2771</v>
      </c>
      <c r="H2237" s="8" t="s">
        <v>5162</v>
      </c>
      <c r="I2237" s="3">
        <v>28</v>
      </c>
      <c r="J2237" s="3" t="s">
        <v>5844</v>
      </c>
      <c r="K2237" s="17" t="str">
        <f>HYPERLINK("http://ictvonline.org/taxonomyHistory.asp?taxnode_id=20172394","ICTVonline=20172394")</f>
        <v>ICTVonline=20172394</v>
      </c>
      <c r="L2237" s="3">
        <v>2236</v>
      </c>
    </row>
    <row r="2238" spans="1:12" x14ac:dyDescent="0.15">
      <c r="A2238" s="1" t="s">
        <v>908</v>
      </c>
      <c r="B2238" s="1" t="s">
        <v>1798</v>
      </c>
      <c r="D2238" s="1" t="s">
        <v>1799</v>
      </c>
      <c r="E2238" s="1" t="s">
        <v>4848</v>
      </c>
      <c r="F2238" s="3">
        <v>0</v>
      </c>
      <c r="G2238" s="8" t="s">
        <v>2771</v>
      </c>
      <c r="H2238" s="8" t="s">
        <v>5159</v>
      </c>
      <c r="I2238" s="3">
        <v>31</v>
      </c>
      <c r="J2238" s="3" t="s">
        <v>5847</v>
      </c>
      <c r="K2238" s="17" t="str">
        <f>HYPERLINK("http://ictvonline.org/taxonomyHistory.asp?taxnode_id=20172395","ICTVonline=20172395")</f>
        <v>ICTVonline=20172395</v>
      </c>
      <c r="L2238" s="3">
        <v>2237</v>
      </c>
    </row>
    <row r="2239" spans="1:12" x14ac:dyDescent="0.15">
      <c r="A2239" s="1" t="s">
        <v>908</v>
      </c>
      <c r="B2239" s="1" t="s">
        <v>1798</v>
      </c>
      <c r="D2239" s="1" t="s">
        <v>1799</v>
      </c>
      <c r="E2239" s="1" t="s">
        <v>2352</v>
      </c>
      <c r="F2239" s="3">
        <v>0</v>
      </c>
      <c r="G2239" s="8" t="s">
        <v>2771</v>
      </c>
      <c r="H2239" s="8" t="s">
        <v>5162</v>
      </c>
      <c r="I2239" s="3">
        <v>28</v>
      </c>
      <c r="J2239" s="3" t="s">
        <v>5844</v>
      </c>
      <c r="K2239" s="17" t="str">
        <f>HYPERLINK("http://ictvonline.org/taxonomyHistory.asp?taxnode_id=20172396","ICTVonline=20172396")</f>
        <v>ICTVonline=20172396</v>
      </c>
      <c r="L2239" s="3">
        <v>2238</v>
      </c>
    </row>
    <row r="2240" spans="1:12" x14ac:dyDescent="0.15">
      <c r="A2240" s="1" t="s">
        <v>908</v>
      </c>
      <c r="B2240" s="1" t="s">
        <v>1798</v>
      </c>
      <c r="D2240" s="1" t="s">
        <v>1395</v>
      </c>
      <c r="E2240" s="1" t="s">
        <v>3808</v>
      </c>
      <c r="F2240" s="3">
        <v>0</v>
      </c>
      <c r="G2240" s="8" t="s">
        <v>2771</v>
      </c>
      <c r="H2240" s="8" t="s">
        <v>5159</v>
      </c>
      <c r="I2240" s="3">
        <v>30</v>
      </c>
      <c r="J2240" s="3" t="s">
        <v>5848</v>
      </c>
      <c r="K2240" s="17" t="str">
        <f>HYPERLINK("http://ictvonline.org/taxonomyHistory.asp?taxnode_id=20172398","ICTVonline=20172398")</f>
        <v>ICTVonline=20172398</v>
      </c>
      <c r="L2240" s="3">
        <v>2239</v>
      </c>
    </row>
    <row r="2241" spans="1:12" x14ac:dyDescent="0.15">
      <c r="A2241" s="1" t="s">
        <v>908</v>
      </c>
      <c r="B2241" s="1" t="s">
        <v>1798</v>
      </c>
      <c r="D2241" s="1" t="s">
        <v>1395</v>
      </c>
      <c r="E2241" s="1" t="s">
        <v>2353</v>
      </c>
      <c r="F2241" s="3">
        <v>0</v>
      </c>
      <c r="G2241" s="8" t="s">
        <v>2771</v>
      </c>
      <c r="H2241" s="8" t="s">
        <v>5162</v>
      </c>
      <c r="I2241" s="3">
        <v>28</v>
      </c>
      <c r="J2241" s="3" t="s">
        <v>5844</v>
      </c>
      <c r="K2241" s="17" t="str">
        <f>HYPERLINK("http://ictvonline.org/taxonomyHistory.asp?taxnode_id=20172399","ICTVonline=20172399")</f>
        <v>ICTVonline=20172399</v>
      </c>
      <c r="L2241" s="3">
        <v>2240</v>
      </c>
    </row>
    <row r="2242" spans="1:12" x14ac:dyDescent="0.15">
      <c r="A2242" s="1" t="s">
        <v>908</v>
      </c>
      <c r="B2242" s="1" t="s">
        <v>1798</v>
      </c>
      <c r="D2242" s="1" t="s">
        <v>1395</v>
      </c>
      <c r="E2242" s="1" t="s">
        <v>2354</v>
      </c>
      <c r="F2242" s="3">
        <v>1</v>
      </c>
      <c r="G2242" s="8" t="s">
        <v>2771</v>
      </c>
      <c r="H2242" s="8" t="s">
        <v>5162</v>
      </c>
      <c r="I2242" s="3">
        <v>28</v>
      </c>
      <c r="J2242" s="3" t="s">
        <v>5844</v>
      </c>
      <c r="K2242" s="17" t="str">
        <f>HYPERLINK("http://ictvonline.org/taxonomyHistory.asp?taxnode_id=20172400","ICTVonline=20172400")</f>
        <v>ICTVonline=20172400</v>
      </c>
      <c r="L2242" s="3">
        <v>2241</v>
      </c>
    </row>
    <row r="2243" spans="1:12" x14ac:dyDescent="0.15">
      <c r="A2243" s="1" t="s">
        <v>908</v>
      </c>
      <c r="B2243" s="1" t="s">
        <v>1798</v>
      </c>
      <c r="D2243" s="1" t="s">
        <v>1395</v>
      </c>
      <c r="E2243" s="1" t="s">
        <v>2355</v>
      </c>
      <c r="F2243" s="3">
        <v>0</v>
      </c>
      <c r="G2243" s="8" t="s">
        <v>2771</v>
      </c>
      <c r="H2243" s="8" t="s">
        <v>5162</v>
      </c>
      <c r="I2243" s="3">
        <v>28</v>
      </c>
      <c r="J2243" s="3" t="s">
        <v>5844</v>
      </c>
      <c r="K2243" s="17" t="str">
        <f>HYPERLINK("http://ictvonline.org/taxonomyHistory.asp?taxnode_id=20172401","ICTVonline=20172401")</f>
        <v>ICTVonline=20172401</v>
      </c>
      <c r="L2243" s="3">
        <v>2242</v>
      </c>
    </row>
    <row r="2244" spans="1:12" x14ac:dyDescent="0.15">
      <c r="A2244" s="1" t="s">
        <v>908</v>
      </c>
      <c r="B2244" s="1" t="s">
        <v>1798</v>
      </c>
      <c r="D2244" s="1" t="s">
        <v>1395</v>
      </c>
      <c r="E2244" s="1" t="s">
        <v>2356</v>
      </c>
      <c r="F2244" s="3">
        <v>0</v>
      </c>
      <c r="G2244" s="8" t="s">
        <v>2771</v>
      </c>
      <c r="H2244" s="8" t="s">
        <v>5162</v>
      </c>
      <c r="I2244" s="3">
        <v>28</v>
      </c>
      <c r="J2244" s="3" t="s">
        <v>5844</v>
      </c>
      <c r="K2244" s="17" t="str">
        <f>HYPERLINK("http://ictvonline.org/taxonomyHistory.asp?taxnode_id=20172402","ICTVonline=20172402")</f>
        <v>ICTVonline=20172402</v>
      </c>
      <c r="L2244" s="3">
        <v>2243</v>
      </c>
    </row>
    <row r="2245" spans="1:12" x14ac:dyDescent="0.15">
      <c r="A2245" s="1" t="s">
        <v>908</v>
      </c>
      <c r="B2245" s="1" t="s">
        <v>1798</v>
      </c>
      <c r="D2245" s="1" t="s">
        <v>1395</v>
      </c>
      <c r="E2245" s="1" t="s">
        <v>2357</v>
      </c>
      <c r="F2245" s="3">
        <v>0</v>
      </c>
      <c r="G2245" s="8" t="s">
        <v>2771</v>
      </c>
      <c r="H2245" s="8" t="s">
        <v>5162</v>
      </c>
      <c r="I2245" s="3">
        <v>28</v>
      </c>
      <c r="J2245" s="3" t="s">
        <v>5844</v>
      </c>
      <c r="K2245" s="17" t="str">
        <f>HYPERLINK("http://ictvonline.org/taxonomyHistory.asp?taxnode_id=20172403","ICTVonline=20172403")</f>
        <v>ICTVonline=20172403</v>
      </c>
      <c r="L2245" s="3">
        <v>2244</v>
      </c>
    </row>
    <row r="2246" spans="1:12" x14ac:dyDescent="0.15">
      <c r="A2246" s="1" t="s">
        <v>908</v>
      </c>
      <c r="B2246" s="1" t="s">
        <v>1798</v>
      </c>
      <c r="D2246" s="1" t="s">
        <v>1395</v>
      </c>
      <c r="E2246" s="1" t="s">
        <v>2358</v>
      </c>
      <c r="F2246" s="3">
        <v>0</v>
      </c>
      <c r="G2246" s="8" t="s">
        <v>2771</v>
      </c>
      <c r="H2246" s="8" t="s">
        <v>5162</v>
      </c>
      <c r="I2246" s="3">
        <v>28</v>
      </c>
      <c r="J2246" s="3" t="s">
        <v>5844</v>
      </c>
      <c r="K2246" s="17" t="str">
        <f>HYPERLINK("http://ictvonline.org/taxonomyHistory.asp?taxnode_id=20172404","ICTVonline=20172404")</f>
        <v>ICTVonline=20172404</v>
      </c>
      <c r="L2246" s="3">
        <v>2245</v>
      </c>
    </row>
    <row r="2247" spans="1:12" x14ac:dyDescent="0.15">
      <c r="A2247" s="1" t="s">
        <v>908</v>
      </c>
      <c r="B2247" s="1" t="s">
        <v>1798</v>
      </c>
      <c r="D2247" s="1" t="s">
        <v>1395</v>
      </c>
      <c r="E2247" s="1" t="s">
        <v>2359</v>
      </c>
      <c r="F2247" s="3">
        <v>0</v>
      </c>
      <c r="G2247" s="8" t="s">
        <v>2771</v>
      </c>
      <c r="H2247" s="8" t="s">
        <v>5162</v>
      </c>
      <c r="I2247" s="3">
        <v>28</v>
      </c>
      <c r="J2247" s="3" t="s">
        <v>5844</v>
      </c>
      <c r="K2247" s="17" t="str">
        <f>HYPERLINK("http://ictvonline.org/taxonomyHistory.asp?taxnode_id=20172405","ICTVonline=20172405")</f>
        <v>ICTVonline=20172405</v>
      </c>
      <c r="L2247" s="3">
        <v>2246</v>
      </c>
    </row>
    <row r="2248" spans="1:12" x14ac:dyDescent="0.15">
      <c r="A2248" s="1" t="s">
        <v>908</v>
      </c>
      <c r="B2248" s="1" t="s">
        <v>1798</v>
      </c>
      <c r="D2248" s="1" t="s">
        <v>1395</v>
      </c>
      <c r="E2248" s="1" t="s">
        <v>3809</v>
      </c>
      <c r="F2248" s="3">
        <v>0</v>
      </c>
      <c r="G2248" s="8" t="s">
        <v>2771</v>
      </c>
      <c r="H2248" s="8" t="s">
        <v>5159</v>
      </c>
      <c r="I2248" s="3">
        <v>30</v>
      </c>
      <c r="J2248" s="3" t="s">
        <v>5848</v>
      </c>
      <c r="K2248" s="17" t="str">
        <f>HYPERLINK("http://ictvonline.org/taxonomyHistory.asp?taxnode_id=20172406","ICTVonline=20172406")</f>
        <v>ICTVonline=20172406</v>
      </c>
      <c r="L2248" s="3">
        <v>2247</v>
      </c>
    </row>
    <row r="2249" spans="1:12" x14ac:dyDescent="0.15">
      <c r="A2249" s="1" t="s">
        <v>908</v>
      </c>
      <c r="B2249" s="1" t="s">
        <v>1798</v>
      </c>
      <c r="D2249" s="1" t="s">
        <v>1395</v>
      </c>
      <c r="E2249" s="1" t="s">
        <v>5849</v>
      </c>
      <c r="F2249" s="3">
        <v>0</v>
      </c>
      <c r="G2249" s="8" t="s">
        <v>2771</v>
      </c>
      <c r="H2249" s="8" t="s">
        <v>5159</v>
      </c>
      <c r="I2249" s="3">
        <v>32</v>
      </c>
      <c r="J2249" s="3" t="s">
        <v>5850</v>
      </c>
      <c r="K2249" s="17" t="str">
        <f>HYPERLINK("http://ictvonline.org/taxonomyHistory.asp?taxnode_id=20175653","ICTVonline=20175653")</f>
        <v>ICTVonline=20175653</v>
      </c>
      <c r="L2249" s="3">
        <v>2248</v>
      </c>
    </row>
    <row r="2250" spans="1:12" x14ac:dyDescent="0.15">
      <c r="A2250" s="1" t="s">
        <v>908</v>
      </c>
      <c r="B2250" s="1" t="s">
        <v>1798</v>
      </c>
      <c r="D2250" s="1" t="s">
        <v>1395</v>
      </c>
      <c r="E2250" s="1" t="s">
        <v>5851</v>
      </c>
      <c r="F2250" s="3">
        <v>0</v>
      </c>
      <c r="G2250" s="8" t="s">
        <v>2771</v>
      </c>
      <c r="H2250" s="8" t="s">
        <v>5159</v>
      </c>
      <c r="I2250" s="3">
        <v>32</v>
      </c>
      <c r="J2250" s="3" t="s">
        <v>5850</v>
      </c>
      <c r="K2250" s="17" t="str">
        <f>HYPERLINK("http://ictvonline.org/taxonomyHistory.asp?taxnode_id=20175654","ICTVonline=20175654")</f>
        <v>ICTVonline=20175654</v>
      </c>
      <c r="L2250" s="3">
        <v>2249</v>
      </c>
    </row>
    <row r="2251" spans="1:12" x14ac:dyDescent="0.15">
      <c r="A2251" s="1" t="s">
        <v>908</v>
      </c>
      <c r="B2251" s="1" t="s">
        <v>1798</v>
      </c>
      <c r="D2251" s="1" t="s">
        <v>1395</v>
      </c>
      <c r="E2251" s="1" t="s">
        <v>2360</v>
      </c>
      <c r="F2251" s="3">
        <v>0</v>
      </c>
      <c r="G2251" s="8" t="s">
        <v>2771</v>
      </c>
      <c r="H2251" s="8" t="s">
        <v>5162</v>
      </c>
      <c r="I2251" s="3">
        <v>28</v>
      </c>
      <c r="J2251" s="3" t="s">
        <v>5844</v>
      </c>
      <c r="K2251" s="17" t="str">
        <f>HYPERLINK("http://ictvonline.org/taxonomyHistory.asp?taxnode_id=20172407","ICTVonline=20172407")</f>
        <v>ICTVonline=20172407</v>
      </c>
      <c r="L2251" s="3">
        <v>2250</v>
      </c>
    </row>
    <row r="2252" spans="1:12" x14ac:dyDescent="0.15">
      <c r="A2252" s="1" t="s">
        <v>908</v>
      </c>
      <c r="B2252" s="1" t="s">
        <v>1798</v>
      </c>
      <c r="D2252" s="1" t="s">
        <v>1395</v>
      </c>
      <c r="E2252" s="1" t="s">
        <v>3810</v>
      </c>
      <c r="F2252" s="3">
        <v>0</v>
      </c>
      <c r="G2252" s="8" t="s">
        <v>2771</v>
      </c>
      <c r="H2252" s="8" t="s">
        <v>5159</v>
      </c>
      <c r="I2252" s="3">
        <v>30</v>
      </c>
      <c r="J2252" s="3" t="s">
        <v>5848</v>
      </c>
      <c r="K2252" s="17" t="str">
        <f>HYPERLINK("http://ictvonline.org/taxonomyHistory.asp?taxnode_id=20172408","ICTVonline=20172408")</f>
        <v>ICTVonline=20172408</v>
      </c>
      <c r="L2252" s="3">
        <v>2251</v>
      </c>
    </row>
    <row r="2253" spans="1:12" x14ac:dyDescent="0.15">
      <c r="A2253" s="1" t="s">
        <v>908</v>
      </c>
      <c r="B2253" s="1" t="s">
        <v>1798</v>
      </c>
      <c r="D2253" s="1" t="s">
        <v>1395</v>
      </c>
      <c r="E2253" s="1" t="s">
        <v>3811</v>
      </c>
      <c r="F2253" s="3">
        <v>0</v>
      </c>
      <c r="G2253" s="8" t="s">
        <v>2771</v>
      </c>
      <c r="H2253" s="8" t="s">
        <v>5159</v>
      </c>
      <c r="I2253" s="3">
        <v>30</v>
      </c>
      <c r="J2253" s="3" t="s">
        <v>5848</v>
      </c>
      <c r="K2253" s="17" t="str">
        <f>HYPERLINK("http://ictvonline.org/taxonomyHistory.asp?taxnode_id=20172409","ICTVonline=20172409")</f>
        <v>ICTVonline=20172409</v>
      </c>
      <c r="L2253" s="3">
        <v>2252</v>
      </c>
    </row>
    <row r="2254" spans="1:12" x14ac:dyDescent="0.15">
      <c r="A2254" s="1" t="s">
        <v>908</v>
      </c>
      <c r="B2254" s="1" t="s">
        <v>1798</v>
      </c>
      <c r="D2254" s="1" t="s">
        <v>1010</v>
      </c>
      <c r="E2254" s="1" t="s">
        <v>2361</v>
      </c>
      <c r="F2254" s="3">
        <v>1</v>
      </c>
      <c r="G2254" s="8" t="s">
        <v>2771</v>
      </c>
      <c r="H2254" s="8" t="s">
        <v>5162</v>
      </c>
      <c r="I2254" s="3">
        <v>28</v>
      </c>
      <c r="J2254" s="3" t="s">
        <v>5844</v>
      </c>
      <c r="K2254" s="17" t="str">
        <f>HYPERLINK("http://ictvonline.org/taxonomyHistory.asp?taxnode_id=20172411","ICTVonline=20172411")</f>
        <v>ICTVonline=20172411</v>
      </c>
      <c r="L2254" s="3">
        <v>2253</v>
      </c>
    </row>
    <row r="2255" spans="1:12" x14ac:dyDescent="0.15">
      <c r="A2255" s="1" t="s">
        <v>908</v>
      </c>
      <c r="B2255" s="1" t="s">
        <v>1798</v>
      </c>
      <c r="D2255" s="1" t="s">
        <v>1456</v>
      </c>
      <c r="E2255" s="1" t="s">
        <v>2362</v>
      </c>
      <c r="F2255" s="3">
        <v>0</v>
      </c>
      <c r="G2255" s="8" t="s">
        <v>2771</v>
      </c>
      <c r="H2255" s="8" t="s">
        <v>5162</v>
      </c>
      <c r="I2255" s="3">
        <v>28</v>
      </c>
      <c r="J2255" s="3" t="s">
        <v>5844</v>
      </c>
      <c r="K2255" s="17" t="str">
        <f>HYPERLINK("http://ictvonline.org/taxonomyHistory.asp?taxnode_id=20172413","ICTVonline=20172413")</f>
        <v>ICTVonline=20172413</v>
      </c>
      <c r="L2255" s="3">
        <v>2254</v>
      </c>
    </row>
    <row r="2256" spans="1:12" x14ac:dyDescent="0.15">
      <c r="A2256" s="1" t="s">
        <v>908</v>
      </c>
      <c r="B2256" s="1" t="s">
        <v>1798</v>
      </c>
      <c r="D2256" s="1" t="s">
        <v>1456</v>
      </c>
      <c r="E2256" s="1" t="s">
        <v>2363</v>
      </c>
      <c r="F2256" s="3">
        <v>0</v>
      </c>
      <c r="G2256" s="8" t="s">
        <v>2771</v>
      </c>
      <c r="H2256" s="8" t="s">
        <v>5162</v>
      </c>
      <c r="I2256" s="3">
        <v>28</v>
      </c>
      <c r="J2256" s="3" t="s">
        <v>5844</v>
      </c>
      <c r="K2256" s="17" t="str">
        <f>HYPERLINK("http://ictvonline.org/taxonomyHistory.asp?taxnode_id=20172414","ICTVonline=20172414")</f>
        <v>ICTVonline=20172414</v>
      </c>
      <c r="L2256" s="3">
        <v>2255</v>
      </c>
    </row>
    <row r="2257" spans="1:12" x14ac:dyDescent="0.15">
      <c r="A2257" s="1" t="s">
        <v>908</v>
      </c>
      <c r="B2257" s="1" t="s">
        <v>1798</v>
      </c>
      <c r="D2257" s="1" t="s">
        <v>1456</v>
      </c>
      <c r="E2257" s="1" t="s">
        <v>5852</v>
      </c>
      <c r="F2257" s="3">
        <v>0</v>
      </c>
      <c r="G2257" s="8" t="s">
        <v>2771</v>
      </c>
      <c r="H2257" s="8" t="s">
        <v>5159</v>
      </c>
      <c r="I2257" s="3">
        <v>32</v>
      </c>
      <c r="J2257" s="3" t="s">
        <v>5850</v>
      </c>
      <c r="K2257" s="17" t="str">
        <f>HYPERLINK("http://ictvonline.org/taxonomyHistory.asp?taxnode_id=20175655","ICTVonline=20175655")</f>
        <v>ICTVonline=20175655</v>
      </c>
      <c r="L2257" s="3">
        <v>2256</v>
      </c>
    </row>
    <row r="2258" spans="1:12" x14ac:dyDescent="0.15">
      <c r="A2258" s="1" t="s">
        <v>908</v>
      </c>
      <c r="B2258" s="1" t="s">
        <v>1798</v>
      </c>
      <c r="D2258" s="1" t="s">
        <v>1456</v>
      </c>
      <c r="E2258" s="1" t="s">
        <v>5853</v>
      </c>
      <c r="F2258" s="3">
        <v>0</v>
      </c>
      <c r="G2258" s="8" t="s">
        <v>2771</v>
      </c>
      <c r="H2258" s="8" t="s">
        <v>5159</v>
      </c>
      <c r="I2258" s="3">
        <v>32</v>
      </c>
      <c r="J2258" s="3" t="s">
        <v>5850</v>
      </c>
      <c r="K2258" s="17" t="str">
        <f>HYPERLINK("http://ictvonline.org/taxonomyHistory.asp?taxnode_id=20175656","ICTVonline=20175656")</f>
        <v>ICTVonline=20175656</v>
      </c>
      <c r="L2258" s="3">
        <v>2257</v>
      </c>
    </row>
    <row r="2259" spans="1:12" x14ac:dyDescent="0.15">
      <c r="A2259" s="1" t="s">
        <v>908</v>
      </c>
      <c r="B2259" s="1" t="s">
        <v>1798</v>
      </c>
      <c r="D2259" s="1" t="s">
        <v>1456</v>
      </c>
      <c r="E2259" s="1" t="s">
        <v>5854</v>
      </c>
      <c r="F2259" s="3">
        <v>0</v>
      </c>
      <c r="G2259" s="8" t="s">
        <v>2771</v>
      </c>
      <c r="H2259" s="8" t="s">
        <v>5159</v>
      </c>
      <c r="I2259" s="3">
        <v>32</v>
      </c>
      <c r="J2259" s="3" t="s">
        <v>5850</v>
      </c>
      <c r="K2259" s="17" t="str">
        <f>HYPERLINK("http://ictvonline.org/taxonomyHistory.asp?taxnode_id=20175657","ICTVonline=20175657")</f>
        <v>ICTVonline=20175657</v>
      </c>
      <c r="L2259" s="3">
        <v>2258</v>
      </c>
    </row>
    <row r="2260" spans="1:12" x14ac:dyDescent="0.15">
      <c r="A2260" s="1" t="s">
        <v>908</v>
      </c>
      <c r="B2260" s="1" t="s">
        <v>1798</v>
      </c>
      <c r="D2260" s="1" t="s">
        <v>1456</v>
      </c>
      <c r="E2260" s="1" t="s">
        <v>5855</v>
      </c>
      <c r="F2260" s="3">
        <v>0</v>
      </c>
      <c r="G2260" s="8" t="s">
        <v>2771</v>
      </c>
      <c r="H2260" s="8" t="s">
        <v>5159</v>
      </c>
      <c r="I2260" s="3">
        <v>32</v>
      </c>
      <c r="J2260" s="3" t="s">
        <v>5850</v>
      </c>
      <c r="K2260" s="17" t="str">
        <f>HYPERLINK("http://ictvonline.org/taxonomyHistory.asp?taxnode_id=20175658","ICTVonline=20175658")</f>
        <v>ICTVonline=20175658</v>
      </c>
      <c r="L2260" s="3">
        <v>2259</v>
      </c>
    </row>
    <row r="2261" spans="1:12" x14ac:dyDescent="0.15">
      <c r="A2261" s="1" t="s">
        <v>908</v>
      </c>
      <c r="B2261" s="1" t="s">
        <v>1798</v>
      </c>
      <c r="D2261" s="1" t="s">
        <v>1456</v>
      </c>
      <c r="E2261" s="1" t="s">
        <v>5856</v>
      </c>
      <c r="F2261" s="3">
        <v>0</v>
      </c>
      <c r="G2261" s="8" t="s">
        <v>2771</v>
      </c>
      <c r="H2261" s="8" t="s">
        <v>5159</v>
      </c>
      <c r="I2261" s="3">
        <v>32</v>
      </c>
      <c r="J2261" s="3" t="s">
        <v>5850</v>
      </c>
      <c r="K2261" s="17" t="str">
        <f>HYPERLINK("http://ictvonline.org/taxonomyHistory.asp?taxnode_id=20175659","ICTVonline=20175659")</f>
        <v>ICTVonline=20175659</v>
      </c>
      <c r="L2261" s="3">
        <v>2260</v>
      </c>
    </row>
    <row r="2262" spans="1:12" x14ac:dyDescent="0.15">
      <c r="A2262" s="1" t="s">
        <v>908</v>
      </c>
      <c r="B2262" s="1" t="s">
        <v>1798</v>
      </c>
      <c r="D2262" s="1" t="s">
        <v>1456</v>
      </c>
      <c r="E2262" s="1" t="s">
        <v>2364</v>
      </c>
      <c r="F2262" s="3">
        <v>0</v>
      </c>
      <c r="G2262" s="8" t="s">
        <v>2771</v>
      </c>
      <c r="H2262" s="8" t="s">
        <v>5162</v>
      </c>
      <c r="I2262" s="3">
        <v>28</v>
      </c>
      <c r="J2262" s="3" t="s">
        <v>5844</v>
      </c>
      <c r="K2262" s="17" t="str">
        <f>HYPERLINK("http://ictvonline.org/taxonomyHistory.asp?taxnode_id=20172415","ICTVonline=20172415")</f>
        <v>ICTVonline=20172415</v>
      </c>
      <c r="L2262" s="3">
        <v>2261</v>
      </c>
    </row>
    <row r="2263" spans="1:12" x14ac:dyDescent="0.15">
      <c r="A2263" s="1" t="s">
        <v>908</v>
      </c>
      <c r="B2263" s="1" t="s">
        <v>1798</v>
      </c>
      <c r="D2263" s="1" t="s">
        <v>1456</v>
      </c>
      <c r="E2263" s="1" t="s">
        <v>2365</v>
      </c>
      <c r="F2263" s="3">
        <v>0</v>
      </c>
      <c r="G2263" s="8" t="s">
        <v>2771</v>
      </c>
      <c r="H2263" s="8" t="s">
        <v>5162</v>
      </c>
      <c r="I2263" s="3">
        <v>28</v>
      </c>
      <c r="J2263" s="3" t="s">
        <v>5844</v>
      </c>
      <c r="K2263" s="17" t="str">
        <f>HYPERLINK("http://ictvonline.org/taxonomyHistory.asp?taxnode_id=20172416","ICTVonline=20172416")</f>
        <v>ICTVonline=20172416</v>
      </c>
      <c r="L2263" s="3">
        <v>2262</v>
      </c>
    </row>
    <row r="2264" spans="1:12" x14ac:dyDescent="0.15">
      <c r="A2264" s="1" t="s">
        <v>908</v>
      </c>
      <c r="B2264" s="1" t="s">
        <v>1798</v>
      </c>
      <c r="D2264" s="1" t="s">
        <v>1456</v>
      </c>
      <c r="E2264" s="1" t="s">
        <v>2366</v>
      </c>
      <c r="F2264" s="3">
        <v>0</v>
      </c>
      <c r="G2264" s="8" t="s">
        <v>2771</v>
      </c>
      <c r="H2264" s="8" t="s">
        <v>5162</v>
      </c>
      <c r="I2264" s="3">
        <v>28</v>
      </c>
      <c r="J2264" s="3" t="s">
        <v>5844</v>
      </c>
      <c r="K2264" s="17" t="str">
        <f>HYPERLINK("http://ictvonline.org/taxonomyHistory.asp?taxnode_id=20172417","ICTVonline=20172417")</f>
        <v>ICTVonline=20172417</v>
      </c>
      <c r="L2264" s="3">
        <v>2263</v>
      </c>
    </row>
    <row r="2265" spans="1:12" x14ac:dyDescent="0.15">
      <c r="A2265" s="1" t="s">
        <v>908</v>
      </c>
      <c r="B2265" s="1" t="s">
        <v>1798</v>
      </c>
      <c r="D2265" s="1" t="s">
        <v>1456</v>
      </c>
      <c r="E2265" s="1" t="s">
        <v>2367</v>
      </c>
      <c r="F2265" s="3">
        <v>0</v>
      </c>
      <c r="G2265" s="8" t="s">
        <v>2771</v>
      </c>
      <c r="H2265" s="8" t="s">
        <v>5162</v>
      </c>
      <c r="I2265" s="3">
        <v>28</v>
      </c>
      <c r="J2265" s="3" t="s">
        <v>5844</v>
      </c>
      <c r="K2265" s="17" t="str">
        <f>HYPERLINK("http://ictvonline.org/taxonomyHistory.asp?taxnode_id=20172418","ICTVonline=20172418")</f>
        <v>ICTVonline=20172418</v>
      </c>
      <c r="L2265" s="3">
        <v>2264</v>
      </c>
    </row>
    <row r="2266" spans="1:12" x14ac:dyDescent="0.15">
      <c r="A2266" s="1" t="s">
        <v>908</v>
      </c>
      <c r="B2266" s="1" t="s">
        <v>1798</v>
      </c>
      <c r="D2266" s="1" t="s">
        <v>1456</v>
      </c>
      <c r="E2266" s="1" t="s">
        <v>5857</v>
      </c>
      <c r="F2266" s="3">
        <v>0</v>
      </c>
      <c r="G2266" s="8" t="s">
        <v>2771</v>
      </c>
      <c r="H2266" s="8" t="s">
        <v>5159</v>
      </c>
      <c r="I2266" s="3">
        <v>32</v>
      </c>
      <c r="J2266" s="3" t="s">
        <v>5846</v>
      </c>
      <c r="K2266" s="17" t="str">
        <f>HYPERLINK("http://ictvonline.org/taxonomyHistory.asp?taxnode_id=20175660","ICTVonline=20175660")</f>
        <v>ICTVonline=20175660</v>
      </c>
      <c r="L2266" s="3">
        <v>2265</v>
      </c>
    </row>
    <row r="2267" spans="1:12" x14ac:dyDescent="0.15">
      <c r="A2267" s="1" t="s">
        <v>908</v>
      </c>
      <c r="B2267" s="1" t="s">
        <v>1798</v>
      </c>
      <c r="D2267" s="1" t="s">
        <v>1456</v>
      </c>
      <c r="E2267" s="1" t="s">
        <v>4849</v>
      </c>
      <c r="F2267" s="3">
        <v>0</v>
      </c>
      <c r="G2267" s="8" t="s">
        <v>2771</v>
      </c>
      <c r="H2267" s="8" t="s">
        <v>5159</v>
      </c>
      <c r="I2267" s="3">
        <v>31</v>
      </c>
      <c r="J2267" s="3" t="s">
        <v>5858</v>
      </c>
      <c r="K2267" s="17" t="str">
        <f>HYPERLINK("http://ictvonline.org/taxonomyHistory.asp?taxnode_id=20172419","ICTVonline=20172419")</f>
        <v>ICTVonline=20172419</v>
      </c>
      <c r="L2267" s="3">
        <v>2266</v>
      </c>
    </row>
    <row r="2268" spans="1:12" x14ac:dyDescent="0.15">
      <c r="A2268" s="1" t="s">
        <v>908</v>
      </c>
      <c r="B2268" s="1" t="s">
        <v>1798</v>
      </c>
      <c r="D2268" s="1" t="s">
        <v>1456</v>
      </c>
      <c r="E2268" s="1" t="s">
        <v>5859</v>
      </c>
      <c r="F2268" s="3">
        <v>0</v>
      </c>
      <c r="G2268" s="8" t="s">
        <v>2771</v>
      </c>
      <c r="H2268" s="8" t="s">
        <v>5159</v>
      </c>
      <c r="I2268" s="3">
        <v>32</v>
      </c>
      <c r="J2268" s="3" t="s">
        <v>5846</v>
      </c>
      <c r="K2268" s="17" t="str">
        <f>HYPERLINK("http://ictvonline.org/taxonomyHistory.asp?taxnode_id=20175661","ICTVonline=20175661")</f>
        <v>ICTVonline=20175661</v>
      </c>
      <c r="L2268" s="3">
        <v>2267</v>
      </c>
    </row>
    <row r="2269" spans="1:12" x14ac:dyDescent="0.15">
      <c r="A2269" s="1" t="s">
        <v>908</v>
      </c>
      <c r="B2269" s="1" t="s">
        <v>1798</v>
      </c>
      <c r="D2269" s="1" t="s">
        <v>1456</v>
      </c>
      <c r="E2269" s="1" t="s">
        <v>2368</v>
      </c>
      <c r="F2269" s="3">
        <v>0</v>
      </c>
      <c r="G2269" s="8" t="s">
        <v>2771</v>
      </c>
      <c r="H2269" s="8" t="s">
        <v>5162</v>
      </c>
      <c r="I2269" s="3">
        <v>28</v>
      </c>
      <c r="J2269" s="3" t="s">
        <v>5844</v>
      </c>
      <c r="K2269" s="17" t="str">
        <f>HYPERLINK("http://ictvonline.org/taxonomyHistory.asp?taxnode_id=20172420","ICTVonline=20172420")</f>
        <v>ICTVonline=20172420</v>
      </c>
      <c r="L2269" s="3">
        <v>2268</v>
      </c>
    </row>
    <row r="2270" spans="1:12" x14ac:dyDescent="0.15">
      <c r="A2270" s="1" t="s">
        <v>908</v>
      </c>
      <c r="B2270" s="1" t="s">
        <v>1798</v>
      </c>
      <c r="D2270" s="1" t="s">
        <v>1456</v>
      </c>
      <c r="E2270" s="1" t="s">
        <v>2369</v>
      </c>
      <c r="F2270" s="3">
        <v>0</v>
      </c>
      <c r="G2270" s="8" t="s">
        <v>2771</v>
      </c>
      <c r="H2270" s="8" t="s">
        <v>5162</v>
      </c>
      <c r="I2270" s="3">
        <v>28</v>
      </c>
      <c r="J2270" s="3" t="s">
        <v>5844</v>
      </c>
      <c r="K2270" s="17" t="str">
        <f>HYPERLINK("http://ictvonline.org/taxonomyHistory.asp?taxnode_id=20172421","ICTVonline=20172421")</f>
        <v>ICTVonline=20172421</v>
      </c>
      <c r="L2270" s="3">
        <v>2269</v>
      </c>
    </row>
    <row r="2271" spans="1:12" x14ac:dyDescent="0.15">
      <c r="A2271" s="1" t="s">
        <v>908</v>
      </c>
      <c r="B2271" s="1" t="s">
        <v>1798</v>
      </c>
      <c r="D2271" s="1" t="s">
        <v>1456</v>
      </c>
      <c r="E2271" s="1" t="s">
        <v>2370</v>
      </c>
      <c r="F2271" s="3">
        <v>0</v>
      </c>
      <c r="G2271" s="8" t="s">
        <v>2771</v>
      </c>
      <c r="H2271" s="8" t="s">
        <v>5162</v>
      </c>
      <c r="I2271" s="3">
        <v>28</v>
      </c>
      <c r="J2271" s="3" t="s">
        <v>5844</v>
      </c>
      <c r="K2271" s="17" t="str">
        <f>HYPERLINK("http://ictvonline.org/taxonomyHistory.asp?taxnode_id=20172422","ICTVonline=20172422")</f>
        <v>ICTVonline=20172422</v>
      </c>
      <c r="L2271" s="3">
        <v>2270</v>
      </c>
    </row>
    <row r="2272" spans="1:12" x14ac:dyDescent="0.15">
      <c r="A2272" s="1" t="s">
        <v>908</v>
      </c>
      <c r="B2272" s="1" t="s">
        <v>1798</v>
      </c>
      <c r="D2272" s="1" t="s">
        <v>1456</v>
      </c>
      <c r="E2272" s="1" t="s">
        <v>2371</v>
      </c>
      <c r="F2272" s="3">
        <v>0</v>
      </c>
      <c r="G2272" s="8" t="s">
        <v>2771</v>
      </c>
      <c r="H2272" s="8" t="s">
        <v>5162</v>
      </c>
      <c r="I2272" s="3">
        <v>28</v>
      </c>
      <c r="J2272" s="3" t="s">
        <v>5844</v>
      </c>
      <c r="K2272" s="17" t="str">
        <f>HYPERLINK("http://ictvonline.org/taxonomyHistory.asp?taxnode_id=20172423","ICTVonline=20172423")</f>
        <v>ICTVonline=20172423</v>
      </c>
      <c r="L2272" s="3">
        <v>2271</v>
      </c>
    </row>
    <row r="2273" spans="1:12" x14ac:dyDescent="0.15">
      <c r="A2273" s="1" t="s">
        <v>908</v>
      </c>
      <c r="B2273" s="1" t="s">
        <v>1798</v>
      </c>
      <c r="D2273" s="1" t="s">
        <v>1456</v>
      </c>
      <c r="E2273" s="1" t="s">
        <v>2372</v>
      </c>
      <c r="F2273" s="3">
        <v>1</v>
      </c>
      <c r="G2273" s="8" t="s">
        <v>2771</v>
      </c>
      <c r="H2273" s="8" t="s">
        <v>5162</v>
      </c>
      <c r="I2273" s="3">
        <v>28</v>
      </c>
      <c r="J2273" s="3" t="s">
        <v>5844</v>
      </c>
      <c r="K2273" s="17" t="str">
        <f>HYPERLINK("http://ictvonline.org/taxonomyHistory.asp?taxnode_id=20172424","ICTVonline=20172424")</f>
        <v>ICTVonline=20172424</v>
      </c>
      <c r="L2273" s="3">
        <v>2272</v>
      </c>
    </row>
    <row r="2274" spans="1:12" x14ac:dyDescent="0.15">
      <c r="A2274" s="1" t="s">
        <v>908</v>
      </c>
      <c r="B2274" s="1" t="s">
        <v>1798</v>
      </c>
      <c r="D2274" s="1" t="s">
        <v>1456</v>
      </c>
      <c r="E2274" s="1" t="s">
        <v>2373</v>
      </c>
      <c r="F2274" s="3">
        <v>0</v>
      </c>
      <c r="G2274" s="8" t="s">
        <v>2771</v>
      </c>
      <c r="H2274" s="8" t="s">
        <v>5162</v>
      </c>
      <c r="I2274" s="3">
        <v>28</v>
      </c>
      <c r="J2274" s="3" t="s">
        <v>5844</v>
      </c>
      <c r="K2274" s="17" t="str">
        <f>HYPERLINK("http://ictvonline.org/taxonomyHistory.asp?taxnode_id=20172425","ICTVonline=20172425")</f>
        <v>ICTVonline=20172425</v>
      </c>
      <c r="L2274" s="3">
        <v>2273</v>
      </c>
    </row>
    <row r="2275" spans="1:12" x14ac:dyDescent="0.15">
      <c r="A2275" s="1" t="s">
        <v>908</v>
      </c>
      <c r="B2275" s="1" t="s">
        <v>1798</v>
      </c>
      <c r="D2275" s="1" t="s">
        <v>1456</v>
      </c>
      <c r="E2275" s="1" t="s">
        <v>2374</v>
      </c>
      <c r="F2275" s="3">
        <v>0</v>
      </c>
      <c r="G2275" s="8" t="s">
        <v>2771</v>
      </c>
      <c r="H2275" s="8" t="s">
        <v>5162</v>
      </c>
      <c r="I2275" s="3">
        <v>28</v>
      </c>
      <c r="J2275" s="3" t="s">
        <v>5844</v>
      </c>
      <c r="K2275" s="17" t="str">
        <f>HYPERLINK("http://ictvonline.org/taxonomyHistory.asp?taxnode_id=20172426","ICTVonline=20172426")</f>
        <v>ICTVonline=20172426</v>
      </c>
      <c r="L2275" s="3">
        <v>2274</v>
      </c>
    </row>
    <row r="2276" spans="1:12" x14ac:dyDescent="0.15">
      <c r="A2276" s="1" t="s">
        <v>908</v>
      </c>
      <c r="B2276" s="1" t="s">
        <v>1798</v>
      </c>
      <c r="D2276" s="1" t="s">
        <v>1456</v>
      </c>
      <c r="E2276" s="1" t="s">
        <v>2375</v>
      </c>
      <c r="F2276" s="3">
        <v>0</v>
      </c>
      <c r="G2276" s="8" t="s">
        <v>2771</v>
      </c>
      <c r="H2276" s="8" t="s">
        <v>5162</v>
      </c>
      <c r="I2276" s="3">
        <v>28</v>
      </c>
      <c r="J2276" s="3" t="s">
        <v>5844</v>
      </c>
      <c r="K2276" s="17" t="str">
        <f>HYPERLINK("http://ictvonline.org/taxonomyHistory.asp?taxnode_id=20172427","ICTVonline=20172427")</f>
        <v>ICTVonline=20172427</v>
      </c>
      <c r="L2276" s="3">
        <v>2275</v>
      </c>
    </row>
    <row r="2277" spans="1:12" x14ac:dyDescent="0.15">
      <c r="A2277" s="1" t="s">
        <v>908</v>
      </c>
      <c r="B2277" s="1" t="s">
        <v>1798</v>
      </c>
      <c r="D2277" s="1" t="s">
        <v>1456</v>
      </c>
      <c r="E2277" s="1" t="s">
        <v>2376</v>
      </c>
      <c r="F2277" s="3">
        <v>0</v>
      </c>
      <c r="G2277" s="8" t="s">
        <v>2771</v>
      </c>
      <c r="H2277" s="8" t="s">
        <v>5162</v>
      </c>
      <c r="I2277" s="3">
        <v>28</v>
      </c>
      <c r="J2277" s="3" t="s">
        <v>5844</v>
      </c>
      <c r="K2277" s="17" t="str">
        <f>HYPERLINK("http://ictvonline.org/taxonomyHistory.asp?taxnode_id=20172428","ICTVonline=20172428")</f>
        <v>ICTVonline=20172428</v>
      </c>
      <c r="L2277" s="3">
        <v>2276</v>
      </c>
    </row>
    <row r="2278" spans="1:12" x14ac:dyDescent="0.15">
      <c r="A2278" s="1" t="s">
        <v>908</v>
      </c>
      <c r="B2278" s="1" t="s">
        <v>1798</v>
      </c>
      <c r="D2278" s="1" t="s">
        <v>1456</v>
      </c>
      <c r="E2278" s="1" t="s">
        <v>2377</v>
      </c>
      <c r="F2278" s="3">
        <v>0</v>
      </c>
      <c r="G2278" s="8" t="s">
        <v>2771</v>
      </c>
      <c r="H2278" s="8" t="s">
        <v>5162</v>
      </c>
      <c r="I2278" s="3">
        <v>28</v>
      </c>
      <c r="J2278" s="3" t="s">
        <v>5844</v>
      </c>
      <c r="K2278" s="17" t="str">
        <f>HYPERLINK("http://ictvonline.org/taxonomyHistory.asp?taxnode_id=20172429","ICTVonline=20172429")</f>
        <v>ICTVonline=20172429</v>
      </c>
      <c r="L2278" s="3">
        <v>2277</v>
      </c>
    </row>
    <row r="2279" spans="1:12" x14ac:dyDescent="0.15">
      <c r="A2279" s="1" t="s">
        <v>908</v>
      </c>
      <c r="B2279" s="1" t="s">
        <v>1798</v>
      </c>
      <c r="D2279" s="1" t="s">
        <v>1456</v>
      </c>
      <c r="E2279" s="1" t="s">
        <v>2378</v>
      </c>
      <c r="F2279" s="3">
        <v>0</v>
      </c>
      <c r="G2279" s="8" t="s">
        <v>2771</v>
      </c>
      <c r="H2279" s="8" t="s">
        <v>5162</v>
      </c>
      <c r="I2279" s="3">
        <v>28</v>
      </c>
      <c r="J2279" s="3" t="s">
        <v>5844</v>
      </c>
      <c r="K2279" s="17" t="str">
        <f>HYPERLINK("http://ictvonline.org/taxonomyHistory.asp?taxnode_id=20172430","ICTVonline=20172430")</f>
        <v>ICTVonline=20172430</v>
      </c>
      <c r="L2279" s="3">
        <v>2278</v>
      </c>
    </row>
    <row r="2280" spans="1:12" x14ac:dyDescent="0.15">
      <c r="A2280" s="1" t="s">
        <v>908</v>
      </c>
      <c r="B2280" s="1" t="s">
        <v>1798</v>
      </c>
      <c r="D2280" s="1" t="s">
        <v>1456</v>
      </c>
      <c r="E2280" s="1" t="s">
        <v>2379</v>
      </c>
      <c r="F2280" s="3">
        <v>0</v>
      </c>
      <c r="G2280" s="8" t="s">
        <v>2771</v>
      </c>
      <c r="H2280" s="8" t="s">
        <v>5162</v>
      </c>
      <c r="I2280" s="3">
        <v>28</v>
      </c>
      <c r="J2280" s="3" t="s">
        <v>5844</v>
      </c>
      <c r="K2280" s="17" t="str">
        <f>HYPERLINK("http://ictvonline.org/taxonomyHistory.asp?taxnode_id=20172431","ICTVonline=20172431")</f>
        <v>ICTVonline=20172431</v>
      </c>
      <c r="L2280" s="3">
        <v>2279</v>
      </c>
    </row>
    <row r="2281" spans="1:12" x14ac:dyDescent="0.15">
      <c r="A2281" s="1" t="s">
        <v>908</v>
      </c>
      <c r="B2281" s="1" t="s">
        <v>1798</v>
      </c>
      <c r="D2281" s="1" t="s">
        <v>1456</v>
      </c>
      <c r="E2281" s="1" t="s">
        <v>2380</v>
      </c>
      <c r="F2281" s="3">
        <v>0</v>
      </c>
      <c r="G2281" s="8" t="s">
        <v>2771</v>
      </c>
      <c r="H2281" s="8" t="s">
        <v>5162</v>
      </c>
      <c r="I2281" s="3">
        <v>28</v>
      </c>
      <c r="J2281" s="3" t="s">
        <v>5844</v>
      </c>
      <c r="K2281" s="17" t="str">
        <f>HYPERLINK("http://ictvonline.org/taxonomyHistory.asp?taxnode_id=20172432","ICTVonline=20172432")</f>
        <v>ICTVonline=20172432</v>
      </c>
      <c r="L2281" s="3">
        <v>2280</v>
      </c>
    </row>
    <row r="2282" spans="1:12" x14ac:dyDescent="0.15">
      <c r="A2282" s="1" t="s">
        <v>908</v>
      </c>
      <c r="B2282" s="1" t="s">
        <v>1798</v>
      </c>
      <c r="D2282" s="1" t="s">
        <v>1456</v>
      </c>
      <c r="E2282" s="1" t="s">
        <v>2381</v>
      </c>
      <c r="F2282" s="3">
        <v>0</v>
      </c>
      <c r="G2282" s="8" t="s">
        <v>2771</v>
      </c>
      <c r="H2282" s="8" t="s">
        <v>5162</v>
      </c>
      <c r="I2282" s="3">
        <v>28</v>
      </c>
      <c r="J2282" s="3" t="s">
        <v>5844</v>
      </c>
      <c r="K2282" s="17" t="str">
        <f>HYPERLINK("http://ictvonline.org/taxonomyHistory.asp?taxnode_id=20172433","ICTVonline=20172433")</f>
        <v>ICTVonline=20172433</v>
      </c>
      <c r="L2282" s="3">
        <v>2281</v>
      </c>
    </row>
    <row r="2283" spans="1:12" x14ac:dyDescent="0.15">
      <c r="A2283" s="1" t="s">
        <v>908</v>
      </c>
      <c r="B2283" s="1" t="s">
        <v>1798</v>
      </c>
      <c r="D2283" s="1" t="s">
        <v>1456</v>
      </c>
      <c r="E2283" s="1" t="s">
        <v>4850</v>
      </c>
      <c r="F2283" s="3">
        <v>0</v>
      </c>
      <c r="G2283" s="8" t="s">
        <v>2771</v>
      </c>
      <c r="H2283" s="8" t="s">
        <v>5159</v>
      </c>
      <c r="I2283" s="3">
        <v>31</v>
      </c>
      <c r="J2283" s="3" t="s">
        <v>5858</v>
      </c>
      <c r="K2283" s="17" t="str">
        <f>HYPERLINK("http://ictvonline.org/taxonomyHistory.asp?taxnode_id=20172434","ICTVonline=20172434")</f>
        <v>ICTVonline=20172434</v>
      </c>
      <c r="L2283" s="3">
        <v>2282</v>
      </c>
    </row>
    <row r="2284" spans="1:12" x14ac:dyDescent="0.15">
      <c r="A2284" s="1" t="s">
        <v>908</v>
      </c>
      <c r="B2284" s="1" t="s">
        <v>1798</v>
      </c>
      <c r="D2284" s="1" t="s">
        <v>1456</v>
      </c>
      <c r="E2284" s="1" t="s">
        <v>2382</v>
      </c>
      <c r="F2284" s="3">
        <v>0</v>
      </c>
      <c r="G2284" s="8" t="s">
        <v>2771</v>
      </c>
      <c r="H2284" s="8" t="s">
        <v>5162</v>
      </c>
      <c r="I2284" s="3">
        <v>28</v>
      </c>
      <c r="J2284" s="3" t="s">
        <v>5844</v>
      </c>
      <c r="K2284" s="17" t="str">
        <f>HYPERLINK("http://ictvonline.org/taxonomyHistory.asp?taxnode_id=20172435","ICTVonline=20172435")</f>
        <v>ICTVonline=20172435</v>
      </c>
      <c r="L2284" s="3">
        <v>2283</v>
      </c>
    </row>
    <row r="2285" spans="1:12" x14ac:dyDescent="0.15">
      <c r="A2285" s="1" t="s">
        <v>908</v>
      </c>
      <c r="B2285" s="1" t="s">
        <v>1798</v>
      </c>
      <c r="D2285" s="1" t="s">
        <v>1456</v>
      </c>
      <c r="E2285" s="1" t="s">
        <v>2383</v>
      </c>
      <c r="F2285" s="3">
        <v>0</v>
      </c>
      <c r="G2285" s="8" t="s">
        <v>2771</v>
      </c>
      <c r="H2285" s="8" t="s">
        <v>5162</v>
      </c>
      <c r="I2285" s="3">
        <v>28</v>
      </c>
      <c r="J2285" s="3" t="s">
        <v>5844</v>
      </c>
      <c r="K2285" s="17" t="str">
        <f>HYPERLINK("http://ictvonline.org/taxonomyHistory.asp?taxnode_id=20172436","ICTVonline=20172436")</f>
        <v>ICTVonline=20172436</v>
      </c>
      <c r="L2285" s="3">
        <v>2284</v>
      </c>
    </row>
    <row r="2286" spans="1:12" x14ac:dyDescent="0.15">
      <c r="A2286" s="1" t="s">
        <v>908</v>
      </c>
      <c r="B2286" s="1" t="s">
        <v>1798</v>
      </c>
      <c r="D2286" s="1" t="s">
        <v>1456</v>
      </c>
      <c r="E2286" s="1" t="s">
        <v>2384</v>
      </c>
      <c r="F2286" s="3">
        <v>0</v>
      </c>
      <c r="G2286" s="8" t="s">
        <v>2771</v>
      </c>
      <c r="H2286" s="8" t="s">
        <v>5162</v>
      </c>
      <c r="I2286" s="3">
        <v>28</v>
      </c>
      <c r="J2286" s="3" t="s">
        <v>5844</v>
      </c>
      <c r="K2286" s="17" t="str">
        <f>HYPERLINK("http://ictvonline.org/taxonomyHistory.asp?taxnode_id=20172437","ICTVonline=20172437")</f>
        <v>ICTVonline=20172437</v>
      </c>
      <c r="L2286" s="3">
        <v>2285</v>
      </c>
    </row>
    <row r="2287" spans="1:12" x14ac:dyDescent="0.15">
      <c r="A2287" s="1" t="s">
        <v>908</v>
      </c>
      <c r="B2287" s="1" t="s">
        <v>1798</v>
      </c>
      <c r="D2287" s="1" t="s">
        <v>1456</v>
      </c>
      <c r="E2287" s="1" t="s">
        <v>4851</v>
      </c>
      <c r="F2287" s="3">
        <v>0</v>
      </c>
      <c r="G2287" s="8" t="s">
        <v>2771</v>
      </c>
      <c r="H2287" s="8" t="s">
        <v>5159</v>
      </c>
      <c r="I2287" s="3">
        <v>31</v>
      </c>
      <c r="J2287" s="3" t="s">
        <v>5858</v>
      </c>
      <c r="K2287" s="17" t="str">
        <f>HYPERLINK("http://ictvonline.org/taxonomyHistory.asp?taxnode_id=20172438","ICTVonline=20172438")</f>
        <v>ICTVonline=20172438</v>
      </c>
      <c r="L2287" s="3">
        <v>2286</v>
      </c>
    </row>
    <row r="2288" spans="1:12" x14ac:dyDescent="0.15">
      <c r="A2288" s="1" t="s">
        <v>908</v>
      </c>
      <c r="B2288" s="1" t="s">
        <v>1798</v>
      </c>
      <c r="D2288" s="1" t="s">
        <v>1456</v>
      </c>
      <c r="E2288" s="1" t="s">
        <v>2385</v>
      </c>
      <c r="F2288" s="3">
        <v>0</v>
      </c>
      <c r="G2288" s="8" t="s">
        <v>2771</v>
      </c>
      <c r="H2288" s="8" t="s">
        <v>5162</v>
      </c>
      <c r="I2288" s="3">
        <v>28</v>
      </c>
      <c r="J2288" s="3" t="s">
        <v>5844</v>
      </c>
      <c r="K2288" s="17" t="str">
        <f>HYPERLINK("http://ictvonline.org/taxonomyHistory.asp?taxnode_id=20172439","ICTVonline=20172439")</f>
        <v>ICTVonline=20172439</v>
      </c>
      <c r="L2288" s="3">
        <v>2287</v>
      </c>
    </row>
    <row r="2289" spans="1:12" x14ac:dyDescent="0.15">
      <c r="A2289" s="1" t="s">
        <v>908</v>
      </c>
      <c r="B2289" s="1" t="s">
        <v>1798</v>
      </c>
      <c r="D2289" s="1" t="s">
        <v>1456</v>
      </c>
      <c r="E2289" s="1" t="s">
        <v>3812</v>
      </c>
      <c r="F2289" s="3">
        <v>0</v>
      </c>
      <c r="G2289" s="8" t="s">
        <v>2771</v>
      </c>
      <c r="H2289" s="8" t="s">
        <v>5159</v>
      </c>
      <c r="I2289" s="3">
        <v>30</v>
      </c>
      <c r="J2289" s="3" t="s">
        <v>5860</v>
      </c>
      <c r="K2289" s="17" t="str">
        <f>HYPERLINK("http://ictvonline.org/taxonomyHistory.asp?taxnode_id=20172440","ICTVonline=20172440")</f>
        <v>ICTVonline=20172440</v>
      </c>
      <c r="L2289" s="3">
        <v>2288</v>
      </c>
    </row>
    <row r="2290" spans="1:12" x14ac:dyDescent="0.15">
      <c r="A2290" s="1" t="s">
        <v>908</v>
      </c>
      <c r="B2290" s="1" t="s">
        <v>1798</v>
      </c>
      <c r="D2290" s="1" t="s">
        <v>1456</v>
      </c>
      <c r="E2290" s="1" t="s">
        <v>3813</v>
      </c>
      <c r="F2290" s="3">
        <v>0</v>
      </c>
      <c r="G2290" s="8" t="s">
        <v>2771</v>
      </c>
      <c r="H2290" s="8" t="s">
        <v>5159</v>
      </c>
      <c r="I2290" s="3">
        <v>30</v>
      </c>
      <c r="J2290" s="3" t="s">
        <v>5860</v>
      </c>
      <c r="K2290" s="17" t="str">
        <f>HYPERLINK("http://ictvonline.org/taxonomyHistory.asp?taxnode_id=20172441","ICTVonline=20172441")</f>
        <v>ICTVonline=20172441</v>
      </c>
      <c r="L2290" s="3">
        <v>2289</v>
      </c>
    </row>
    <row r="2291" spans="1:12" x14ac:dyDescent="0.15">
      <c r="A2291" s="1" t="s">
        <v>908</v>
      </c>
      <c r="B2291" s="1" t="s">
        <v>1798</v>
      </c>
      <c r="D2291" s="1" t="s">
        <v>1456</v>
      </c>
      <c r="E2291" s="1" t="s">
        <v>4852</v>
      </c>
      <c r="F2291" s="3">
        <v>0</v>
      </c>
      <c r="G2291" s="8" t="s">
        <v>2771</v>
      </c>
      <c r="H2291" s="8" t="s">
        <v>5159</v>
      </c>
      <c r="I2291" s="3">
        <v>31</v>
      </c>
      <c r="J2291" s="3" t="s">
        <v>5858</v>
      </c>
      <c r="K2291" s="17" t="str">
        <f>HYPERLINK("http://ictvonline.org/taxonomyHistory.asp?taxnode_id=20172442","ICTVonline=20172442")</f>
        <v>ICTVonline=20172442</v>
      </c>
      <c r="L2291" s="3">
        <v>2290</v>
      </c>
    </row>
    <row r="2292" spans="1:12" x14ac:dyDescent="0.15">
      <c r="A2292" s="1" t="s">
        <v>908</v>
      </c>
      <c r="B2292" s="1" t="s">
        <v>1798</v>
      </c>
      <c r="D2292" s="1" t="s">
        <v>1456</v>
      </c>
      <c r="E2292" s="1" t="s">
        <v>4853</v>
      </c>
      <c r="F2292" s="3">
        <v>0</v>
      </c>
      <c r="G2292" s="8" t="s">
        <v>2771</v>
      </c>
      <c r="H2292" s="8" t="s">
        <v>5159</v>
      </c>
      <c r="I2292" s="3">
        <v>31</v>
      </c>
      <c r="J2292" s="3" t="s">
        <v>5858</v>
      </c>
      <c r="K2292" s="17" t="str">
        <f>HYPERLINK("http://ictvonline.org/taxonomyHistory.asp?taxnode_id=20172443","ICTVonline=20172443")</f>
        <v>ICTVonline=20172443</v>
      </c>
      <c r="L2292" s="3">
        <v>2291</v>
      </c>
    </row>
    <row r="2293" spans="1:12" x14ac:dyDescent="0.15">
      <c r="A2293" s="1" t="s">
        <v>908</v>
      </c>
      <c r="B2293" s="1" t="s">
        <v>1798</v>
      </c>
      <c r="D2293" s="1" t="s">
        <v>1456</v>
      </c>
      <c r="E2293" s="1" t="s">
        <v>4854</v>
      </c>
      <c r="F2293" s="3">
        <v>0</v>
      </c>
      <c r="G2293" s="8" t="s">
        <v>2771</v>
      </c>
      <c r="H2293" s="8" t="s">
        <v>5159</v>
      </c>
      <c r="I2293" s="3">
        <v>31</v>
      </c>
      <c r="J2293" s="3" t="s">
        <v>5858</v>
      </c>
      <c r="K2293" s="17" t="str">
        <f>HYPERLINK("http://ictvonline.org/taxonomyHistory.asp?taxnode_id=20172444","ICTVonline=20172444")</f>
        <v>ICTVonline=20172444</v>
      </c>
      <c r="L2293" s="3">
        <v>2292</v>
      </c>
    </row>
    <row r="2294" spans="1:12" x14ac:dyDescent="0.15">
      <c r="A2294" s="1" t="s">
        <v>908</v>
      </c>
      <c r="B2294" s="1" t="s">
        <v>1798</v>
      </c>
      <c r="D2294" s="1" t="s">
        <v>1456</v>
      </c>
      <c r="E2294" s="1" t="s">
        <v>4855</v>
      </c>
      <c r="F2294" s="3">
        <v>0</v>
      </c>
      <c r="G2294" s="8" t="s">
        <v>2771</v>
      </c>
      <c r="H2294" s="8" t="s">
        <v>5159</v>
      </c>
      <c r="I2294" s="3">
        <v>31</v>
      </c>
      <c r="J2294" s="3" t="s">
        <v>5858</v>
      </c>
      <c r="K2294" s="17" t="str">
        <f>HYPERLINK("http://ictvonline.org/taxonomyHistory.asp?taxnode_id=20172445","ICTVonline=20172445")</f>
        <v>ICTVonline=20172445</v>
      </c>
      <c r="L2294" s="3">
        <v>2293</v>
      </c>
    </row>
    <row r="2295" spans="1:12" x14ac:dyDescent="0.15">
      <c r="A2295" s="1" t="s">
        <v>908</v>
      </c>
      <c r="B2295" s="1" t="s">
        <v>1798</v>
      </c>
      <c r="D2295" s="1" t="s">
        <v>1456</v>
      </c>
      <c r="E2295" s="1" t="s">
        <v>4856</v>
      </c>
      <c r="F2295" s="3">
        <v>0</v>
      </c>
      <c r="G2295" s="8" t="s">
        <v>2771</v>
      </c>
      <c r="H2295" s="8" t="s">
        <v>5159</v>
      </c>
      <c r="I2295" s="3">
        <v>31</v>
      </c>
      <c r="J2295" s="3" t="s">
        <v>5858</v>
      </c>
      <c r="K2295" s="17" t="str">
        <f>HYPERLINK("http://ictvonline.org/taxonomyHistory.asp?taxnode_id=20172446","ICTVonline=20172446")</f>
        <v>ICTVonline=20172446</v>
      </c>
      <c r="L2295" s="3">
        <v>2294</v>
      </c>
    </row>
    <row r="2296" spans="1:12" x14ac:dyDescent="0.15">
      <c r="A2296" s="1" t="s">
        <v>908</v>
      </c>
      <c r="B2296" s="1" t="s">
        <v>1798</v>
      </c>
      <c r="D2296" s="1" t="s">
        <v>1456</v>
      </c>
      <c r="E2296" s="1" t="s">
        <v>5861</v>
      </c>
      <c r="F2296" s="3">
        <v>0</v>
      </c>
      <c r="G2296" s="8" t="s">
        <v>2771</v>
      </c>
      <c r="H2296" s="8" t="s">
        <v>5159</v>
      </c>
      <c r="I2296" s="3">
        <v>32</v>
      </c>
      <c r="J2296" s="3" t="s">
        <v>5850</v>
      </c>
      <c r="K2296" s="17" t="str">
        <f>HYPERLINK("http://ictvonline.org/taxonomyHistory.asp?taxnode_id=20175662","ICTVonline=20175662")</f>
        <v>ICTVonline=20175662</v>
      </c>
      <c r="L2296" s="3">
        <v>2295</v>
      </c>
    </row>
    <row r="2297" spans="1:12" x14ac:dyDescent="0.15">
      <c r="A2297" s="1" t="s">
        <v>908</v>
      </c>
      <c r="B2297" s="1" t="s">
        <v>1798</v>
      </c>
      <c r="D2297" s="1" t="s">
        <v>1456</v>
      </c>
      <c r="E2297" s="1" t="s">
        <v>4857</v>
      </c>
      <c r="F2297" s="3">
        <v>0</v>
      </c>
      <c r="G2297" s="8" t="s">
        <v>2771</v>
      </c>
      <c r="H2297" s="8" t="s">
        <v>5159</v>
      </c>
      <c r="I2297" s="3">
        <v>31</v>
      </c>
      <c r="J2297" s="3" t="s">
        <v>5858</v>
      </c>
      <c r="K2297" s="17" t="str">
        <f>HYPERLINK("http://ictvonline.org/taxonomyHistory.asp?taxnode_id=20172447","ICTVonline=20172447")</f>
        <v>ICTVonline=20172447</v>
      </c>
      <c r="L2297" s="3">
        <v>2296</v>
      </c>
    </row>
    <row r="2298" spans="1:12" x14ac:dyDescent="0.15">
      <c r="A2298" s="1" t="s">
        <v>908</v>
      </c>
      <c r="B2298" s="1" t="s">
        <v>1798</v>
      </c>
      <c r="D2298" s="1" t="s">
        <v>1456</v>
      </c>
      <c r="E2298" s="1" t="s">
        <v>5862</v>
      </c>
      <c r="F2298" s="3">
        <v>0</v>
      </c>
      <c r="G2298" s="8" t="s">
        <v>2771</v>
      </c>
      <c r="H2298" s="8" t="s">
        <v>5159</v>
      </c>
      <c r="I2298" s="3">
        <v>32</v>
      </c>
      <c r="J2298" s="3" t="s">
        <v>5846</v>
      </c>
      <c r="K2298" s="17" t="str">
        <f>HYPERLINK("http://ictvonline.org/taxonomyHistory.asp?taxnode_id=20175663","ICTVonline=20175663")</f>
        <v>ICTVonline=20175663</v>
      </c>
      <c r="L2298" s="3">
        <v>2297</v>
      </c>
    </row>
    <row r="2299" spans="1:12" x14ac:dyDescent="0.15">
      <c r="A2299" s="1" t="s">
        <v>908</v>
      </c>
      <c r="B2299" s="1" t="s">
        <v>1798</v>
      </c>
      <c r="D2299" s="1" t="s">
        <v>1456</v>
      </c>
      <c r="E2299" s="1" t="s">
        <v>2386</v>
      </c>
      <c r="F2299" s="3">
        <v>0</v>
      </c>
      <c r="G2299" s="8" t="s">
        <v>2771</v>
      </c>
      <c r="H2299" s="8" t="s">
        <v>5162</v>
      </c>
      <c r="I2299" s="3">
        <v>28</v>
      </c>
      <c r="J2299" s="3" t="s">
        <v>5844</v>
      </c>
      <c r="K2299" s="17" t="str">
        <f>HYPERLINK("http://ictvonline.org/taxonomyHistory.asp?taxnode_id=20172448","ICTVonline=20172448")</f>
        <v>ICTVonline=20172448</v>
      </c>
      <c r="L2299" s="3">
        <v>2298</v>
      </c>
    </row>
    <row r="2300" spans="1:12" x14ac:dyDescent="0.15">
      <c r="A2300" s="1" t="s">
        <v>908</v>
      </c>
      <c r="B2300" s="1" t="s">
        <v>1798</v>
      </c>
      <c r="D2300" s="1" t="s">
        <v>683</v>
      </c>
      <c r="E2300" s="1" t="s">
        <v>2387</v>
      </c>
      <c r="F2300" s="3">
        <v>1</v>
      </c>
      <c r="G2300" s="8" t="s">
        <v>2771</v>
      </c>
      <c r="H2300" s="8" t="s">
        <v>5162</v>
      </c>
      <c r="I2300" s="3">
        <v>28</v>
      </c>
      <c r="J2300" s="3" t="s">
        <v>5844</v>
      </c>
      <c r="K2300" s="17" t="str">
        <f>HYPERLINK("http://ictvonline.org/taxonomyHistory.asp?taxnode_id=20172450","ICTVonline=20172450")</f>
        <v>ICTVonline=20172450</v>
      </c>
      <c r="L2300" s="3">
        <v>2299</v>
      </c>
    </row>
    <row r="2301" spans="1:12" x14ac:dyDescent="0.15">
      <c r="A2301" s="1" t="s">
        <v>908</v>
      </c>
      <c r="B2301" s="1" t="s">
        <v>1798</v>
      </c>
      <c r="D2301" s="1" t="s">
        <v>683</v>
      </c>
      <c r="E2301" s="1" t="s">
        <v>2388</v>
      </c>
      <c r="F2301" s="3">
        <v>0</v>
      </c>
      <c r="G2301" s="8" t="s">
        <v>2771</v>
      </c>
      <c r="H2301" s="8" t="s">
        <v>5162</v>
      </c>
      <c r="I2301" s="3">
        <v>28</v>
      </c>
      <c r="J2301" s="3" t="s">
        <v>5844</v>
      </c>
      <c r="K2301" s="17" t="str">
        <f>HYPERLINK("http://ictvonline.org/taxonomyHistory.asp?taxnode_id=20172451","ICTVonline=20172451")</f>
        <v>ICTVonline=20172451</v>
      </c>
      <c r="L2301" s="3">
        <v>2300</v>
      </c>
    </row>
    <row r="2302" spans="1:12" x14ac:dyDescent="0.15">
      <c r="A2302" s="1" t="s">
        <v>908</v>
      </c>
      <c r="B2302" s="1" t="s">
        <v>1798</v>
      </c>
      <c r="D2302" s="1" t="s">
        <v>683</v>
      </c>
      <c r="E2302" s="1" t="s">
        <v>4858</v>
      </c>
      <c r="F2302" s="3">
        <v>0</v>
      </c>
      <c r="G2302" s="8" t="s">
        <v>2771</v>
      </c>
      <c r="H2302" s="8" t="s">
        <v>5159</v>
      </c>
      <c r="I2302" s="3">
        <v>31</v>
      </c>
      <c r="J2302" s="3" t="s">
        <v>5863</v>
      </c>
      <c r="K2302" s="17" t="str">
        <f>HYPERLINK("http://ictvonline.org/taxonomyHistory.asp?taxnode_id=20172452","ICTVonline=20172452")</f>
        <v>ICTVonline=20172452</v>
      </c>
      <c r="L2302" s="3">
        <v>2301</v>
      </c>
    </row>
    <row r="2303" spans="1:12" x14ac:dyDescent="0.15">
      <c r="A2303" s="1" t="s">
        <v>908</v>
      </c>
      <c r="B2303" s="1" t="s">
        <v>1798</v>
      </c>
      <c r="D2303" s="1" t="s">
        <v>683</v>
      </c>
      <c r="E2303" s="1" t="s">
        <v>2389</v>
      </c>
      <c r="F2303" s="3">
        <v>0</v>
      </c>
      <c r="G2303" s="8" t="s">
        <v>2771</v>
      </c>
      <c r="H2303" s="8" t="s">
        <v>5162</v>
      </c>
      <c r="I2303" s="3">
        <v>28</v>
      </c>
      <c r="J2303" s="3" t="s">
        <v>5844</v>
      </c>
      <c r="K2303" s="17" t="str">
        <f>HYPERLINK("http://ictvonline.org/taxonomyHistory.asp?taxnode_id=20172453","ICTVonline=20172453")</f>
        <v>ICTVonline=20172453</v>
      </c>
      <c r="L2303" s="3">
        <v>2302</v>
      </c>
    </row>
    <row r="2304" spans="1:12" x14ac:dyDescent="0.15">
      <c r="A2304" s="1" t="s">
        <v>908</v>
      </c>
      <c r="B2304" s="1" t="s">
        <v>1798</v>
      </c>
      <c r="D2304" s="1" t="s">
        <v>683</v>
      </c>
      <c r="E2304" s="1" t="s">
        <v>2390</v>
      </c>
      <c r="F2304" s="3">
        <v>0</v>
      </c>
      <c r="G2304" s="8" t="s">
        <v>2771</v>
      </c>
      <c r="H2304" s="8" t="s">
        <v>5162</v>
      </c>
      <c r="I2304" s="3">
        <v>28</v>
      </c>
      <c r="J2304" s="3" t="s">
        <v>5844</v>
      </c>
      <c r="K2304" s="17" t="str">
        <f>HYPERLINK("http://ictvonline.org/taxonomyHistory.asp?taxnode_id=20172454","ICTVonline=20172454")</f>
        <v>ICTVonline=20172454</v>
      </c>
      <c r="L2304" s="3">
        <v>2303</v>
      </c>
    </row>
    <row r="2305" spans="1:12" x14ac:dyDescent="0.15">
      <c r="A2305" s="1" t="s">
        <v>908</v>
      </c>
      <c r="B2305" s="1" t="s">
        <v>1798</v>
      </c>
      <c r="D2305" s="1" t="s">
        <v>683</v>
      </c>
      <c r="E2305" s="1" t="s">
        <v>2391</v>
      </c>
      <c r="F2305" s="3">
        <v>0</v>
      </c>
      <c r="G2305" s="8" t="s">
        <v>2771</v>
      </c>
      <c r="H2305" s="8" t="s">
        <v>5162</v>
      </c>
      <c r="I2305" s="3">
        <v>28</v>
      </c>
      <c r="J2305" s="3" t="s">
        <v>5844</v>
      </c>
      <c r="K2305" s="17" t="str">
        <f>HYPERLINK("http://ictvonline.org/taxonomyHistory.asp?taxnode_id=20172455","ICTVonline=20172455")</f>
        <v>ICTVonline=20172455</v>
      </c>
      <c r="L2305" s="3">
        <v>2304</v>
      </c>
    </row>
    <row r="2306" spans="1:12" x14ac:dyDescent="0.15">
      <c r="A2306" s="1" t="s">
        <v>908</v>
      </c>
      <c r="B2306" s="1" t="s">
        <v>5864</v>
      </c>
      <c r="C2306" s="1" t="s">
        <v>5865</v>
      </c>
      <c r="D2306" s="1" t="s">
        <v>5866</v>
      </c>
      <c r="E2306" s="45" t="s">
        <v>5867</v>
      </c>
      <c r="F2306" s="3">
        <v>1</v>
      </c>
      <c r="G2306" s="8" t="s">
        <v>2774</v>
      </c>
      <c r="H2306" s="8" t="s">
        <v>5159</v>
      </c>
      <c r="I2306" s="3">
        <v>32</v>
      </c>
      <c r="J2306" s="3" t="s">
        <v>5868</v>
      </c>
      <c r="K2306" s="17" t="str">
        <f>HYPERLINK("http://ictvonline.org/taxonomyHistory.asp?taxnode_id=20176012","ICTVonline=20176012")</f>
        <v>ICTVonline=20176012</v>
      </c>
      <c r="L2306" s="3">
        <v>2305</v>
      </c>
    </row>
    <row r="2307" spans="1:12" x14ac:dyDescent="0.15">
      <c r="A2307" s="1" t="s">
        <v>908</v>
      </c>
      <c r="B2307" s="1" t="s">
        <v>5864</v>
      </c>
      <c r="C2307" s="1" t="s">
        <v>5865</v>
      </c>
      <c r="D2307" s="1" t="s">
        <v>5866</v>
      </c>
      <c r="E2307" s="45" t="s">
        <v>5869</v>
      </c>
      <c r="F2307" s="3">
        <v>0</v>
      </c>
      <c r="G2307" s="8" t="s">
        <v>2774</v>
      </c>
      <c r="H2307" s="8" t="s">
        <v>5159</v>
      </c>
      <c r="I2307" s="3">
        <v>32</v>
      </c>
      <c r="J2307" s="3" t="s">
        <v>5868</v>
      </c>
      <c r="K2307" s="17" t="str">
        <f>HYPERLINK("http://ictvonline.org/taxonomyHistory.asp?taxnode_id=20175664","ICTVonline=20175664")</f>
        <v>ICTVonline=20175664</v>
      </c>
      <c r="L2307" s="3">
        <v>2306</v>
      </c>
    </row>
    <row r="2308" spans="1:12" x14ac:dyDescent="0.15">
      <c r="A2308" s="1" t="s">
        <v>908</v>
      </c>
      <c r="B2308" s="1" t="s">
        <v>5864</v>
      </c>
      <c r="C2308" s="1" t="s">
        <v>5865</v>
      </c>
      <c r="D2308" s="1" t="s">
        <v>5870</v>
      </c>
      <c r="E2308" s="45" t="s">
        <v>5871</v>
      </c>
      <c r="F2308" s="3">
        <v>1</v>
      </c>
      <c r="G2308" s="8" t="s">
        <v>2774</v>
      </c>
      <c r="H2308" s="8" t="s">
        <v>5159</v>
      </c>
      <c r="I2308" s="3">
        <v>32</v>
      </c>
      <c r="J2308" s="3" t="s">
        <v>5868</v>
      </c>
      <c r="K2308" s="17" t="str">
        <f>HYPERLINK("http://ictvonline.org/taxonomyHistory.asp?taxnode_id=20175666","ICTVonline=20175666")</f>
        <v>ICTVonline=20175666</v>
      </c>
      <c r="L2308" s="3">
        <v>2307</v>
      </c>
    </row>
    <row r="2309" spans="1:12" x14ac:dyDescent="0.15">
      <c r="A2309" s="1" t="s">
        <v>908</v>
      </c>
      <c r="B2309" s="1" t="s">
        <v>5864</v>
      </c>
      <c r="C2309" s="1" t="s">
        <v>5865</v>
      </c>
      <c r="D2309" s="1" t="s">
        <v>5870</v>
      </c>
      <c r="E2309" s="45" t="s">
        <v>5872</v>
      </c>
      <c r="F2309" s="3">
        <v>0</v>
      </c>
      <c r="G2309" s="8" t="s">
        <v>2774</v>
      </c>
      <c r="H2309" s="8" t="s">
        <v>5159</v>
      </c>
      <c r="I2309" s="3">
        <v>32</v>
      </c>
      <c r="J2309" s="3" t="s">
        <v>5868</v>
      </c>
      <c r="K2309" s="17" t="str">
        <f>HYPERLINK("http://ictvonline.org/taxonomyHistory.asp?taxnode_id=20175667","ICTVonline=20175667")</f>
        <v>ICTVonline=20175667</v>
      </c>
      <c r="L2309" s="3">
        <v>2308</v>
      </c>
    </row>
    <row r="2310" spans="1:12" x14ac:dyDescent="0.15">
      <c r="A2310" s="1" t="s">
        <v>908</v>
      </c>
      <c r="B2310" s="1" t="s">
        <v>5864</v>
      </c>
      <c r="C2310" s="1" t="s">
        <v>5865</v>
      </c>
      <c r="D2310" s="1" t="s">
        <v>5870</v>
      </c>
      <c r="E2310" s="45" t="s">
        <v>5873</v>
      </c>
      <c r="F2310" s="3">
        <v>0</v>
      </c>
      <c r="G2310" s="8" t="s">
        <v>2774</v>
      </c>
      <c r="H2310" s="8" t="s">
        <v>5159</v>
      </c>
      <c r="I2310" s="3">
        <v>32</v>
      </c>
      <c r="J2310" s="3" t="s">
        <v>5868</v>
      </c>
      <c r="K2310" s="17" t="str">
        <f>HYPERLINK("http://ictvonline.org/taxonomyHistory.asp?taxnode_id=20175668","ICTVonline=20175668")</f>
        <v>ICTVonline=20175668</v>
      </c>
      <c r="L2310" s="3">
        <v>2309</v>
      </c>
    </row>
    <row r="2311" spans="1:12" x14ac:dyDescent="0.15">
      <c r="A2311" s="1" t="s">
        <v>908</v>
      </c>
      <c r="B2311" s="1" t="s">
        <v>5864</v>
      </c>
      <c r="C2311" s="1" t="s">
        <v>5865</v>
      </c>
      <c r="D2311" s="1" t="s">
        <v>5870</v>
      </c>
      <c r="E2311" s="45" t="s">
        <v>5874</v>
      </c>
      <c r="F2311" s="3">
        <v>0</v>
      </c>
      <c r="G2311" s="8" t="s">
        <v>2774</v>
      </c>
      <c r="H2311" s="8" t="s">
        <v>5159</v>
      </c>
      <c r="I2311" s="3">
        <v>32</v>
      </c>
      <c r="J2311" s="3" t="s">
        <v>5868</v>
      </c>
      <c r="K2311" s="17" t="str">
        <f>HYPERLINK("http://ictvonline.org/taxonomyHistory.asp?taxnode_id=20175669","ICTVonline=20175669")</f>
        <v>ICTVonline=20175669</v>
      </c>
      <c r="L2311" s="3">
        <v>2310</v>
      </c>
    </row>
    <row r="2312" spans="1:12" x14ac:dyDescent="0.15">
      <c r="A2312" s="1" t="s">
        <v>908</v>
      </c>
      <c r="B2312" s="1" t="s">
        <v>5864</v>
      </c>
      <c r="C2312" s="1" t="s">
        <v>5865</v>
      </c>
      <c r="D2312" s="1" t="s">
        <v>5870</v>
      </c>
      <c r="E2312" s="45" t="s">
        <v>5875</v>
      </c>
      <c r="F2312" s="3">
        <v>0</v>
      </c>
      <c r="G2312" s="8" t="s">
        <v>2774</v>
      </c>
      <c r="H2312" s="8" t="s">
        <v>5159</v>
      </c>
      <c r="I2312" s="3">
        <v>32</v>
      </c>
      <c r="J2312" s="3" t="s">
        <v>5868</v>
      </c>
      <c r="K2312" s="17" t="str">
        <f>HYPERLINK("http://ictvonline.org/taxonomyHistory.asp?taxnode_id=20175670","ICTVonline=20175670")</f>
        <v>ICTVonline=20175670</v>
      </c>
      <c r="L2312" s="3">
        <v>2311</v>
      </c>
    </row>
    <row r="2313" spans="1:12" x14ac:dyDescent="0.15">
      <c r="A2313" s="1" t="s">
        <v>908</v>
      </c>
      <c r="B2313" s="1" t="s">
        <v>5864</v>
      </c>
      <c r="C2313" s="1" t="s">
        <v>5865</v>
      </c>
      <c r="D2313" s="1" t="s">
        <v>5870</v>
      </c>
      <c r="E2313" s="45" t="s">
        <v>5876</v>
      </c>
      <c r="F2313" s="3">
        <v>0</v>
      </c>
      <c r="G2313" s="8" t="s">
        <v>2774</v>
      </c>
      <c r="H2313" s="8" t="s">
        <v>5159</v>
      </c>
      <c r="I2313" s="3">
        <v>32</v>
      </c>
      <c r="J2313" s="3" t="s">
        <v>5868</v>
      </c>
      <c r="K2313" s="17" t="str">
        <f>HYPERLINK("http://ictvonline.org/taxonomyHistory.asp?taxnode_id=20175671","ICTVonline=20175671")</f>
        <v>ICTVonline=20175671</v>
      </c>
      <c r="L2313" s="3">
        <v>2312</v>
      </c>
    </row>
    <row r="2314" spans="1:12" x14ac:dyDescent="0.15">
      <c r="A2314" s="1" t="s">
        <v>908</v>
      </c>
      <c r="B2314" s="1" t="s">
        <v>5864</v>
      </c>
      <c r="C2314" s="1" t="s">
        <v>5865</v>
      </c>
      <c r="D2314" s="1" t="s">
        <v>5870</v>
      </c>
      <c r="E2314" s="45" t="s">
        <v>5877</v>
      </c>
      <c r="F2314" s="3">
        <v>0</v>
      </c>
      <c r="G2314" s="8" t="s">
        <v>2774</v>
      </c>
      <c r="H2314" s="8" t="s">
        <v>5159</v>
      </c>
      <c r="I2314" s="3">
        <v>32</v>
      </c>
      <c r="J2314" s="3" t="s">
        <v>5868</v>
      </c>
      <c r="K2314" s="17" t="str">
        <f>HYPERLINK("http://ictvonline.org/taxonomyHistory.asp?taxnode_id=20175672","ICTVonline=20175672")</f>
        <v>ICTVonline=20175672</v>
      </c>
      <c r="L2314" s="3">
        <v>2313</v>
      </c>
    </row>
    <row r="2315" spans="1:12" x14ac:dyDescent="0.15">
      <c r="A2315" s="1" t="s">
        <v>908</v>
      </c>
      <c r="B2315" s="1" t="s">
        <v>5864</v>
      </c>
      <c r="C2315" s="1" t="s">
        <v>5865</v>
      </c>
      <c r="D2315" s="1" t="s">
        <v>5870</v>
      </c>
      <c r="E2315" s="45" t="s">
        <v>5878</v>
      </c>
      <c r="F2315" s="3">
        <v>0</v>
      </c>
      <c r="G2315" s="8" t="s">
        <v>2774</v>
      </c>
      <c r="H2315" s="8" t="s">
        <v>5159</v>
      </c>
      <c r="I2315" s="3">
        <v>32</v>
      </c>
      <c r="J2315" s="3" t="s">
        <v>5868</v>
      </c>
      <c r="K2315" s="17" t="str">
        <f>HYPERLINK("http://ictvonline.org/taxonomyHistory.asp?taxnode_id=20175673","ICTVonline=20175673")</f>
        <v>ICTVonline=20175673</v>
      </c>
      <c r="L2315" s="3">
        <v>2314</v>
      </c>
    </row>
    <row r="2316" spans="1:12" x14ac:dyDescent="0.15">
      <c r="A2316" s="1" t="s">
        <v>908</v>
      </c>
      <c r="B2316" s="1" t="s">
        <v>5864</v>
      </c>
      <c r="C2316" s="1" t="s">
        <v>5865</v>
      </c>
      <c r="D2316" s="1" t="s">
        <v>5879</v>
      </c>
      <c r="E2316" s="45" t="s">
        <v>5880</v>
      </c>
      <c r="F2316" s="3">
        <v>0</v>
      </c>
      <c r="G2316" s="8" t="s">
        <v>2774</v>
      </c>
      <c r="H2316" s="8" t="s">
        <v>5159</v>
      </c>
      <c r="I2316" s="3">
        <v>32</v>
      </c>
      <c r="J2316" s="3" t="s">
        <v>5868</v>
      </c>
      <c r="K2316" s="17" t="str">
        <f>HYPERLINK("http://ictvonline.org/taxonomyHistory.asp?taxnode_id=20175675","ICTVonline=20175675")</f>
        <v>ICTVonline=20175675</v>
      </c>
      <c r="L2316" s="3">
        <v>2315</v>
      </c>
    </row>
    <row r="2317" spans="1:12" x14ac:dyDescent="0.15">
      <c r="A2317" s="1" t="s">
        <v>908</v>
      </c>
      <c r="B2317" s="1" t="s">
        <v>5864</v>
      </c>
      <c r="C2317" s="1" t="s">
        <v>5865</v>
      </c>
      <c r="D2317" s="1" t="s">
        <v>5879</v>
      </c>
      <c r="E2317" s="45" t="s">
        <v>5881</v>
      </c>
      <c r="F2317" s="3">
        <v>0</v>
      </c>
      <c r="G2317" s="8" t="s">
        <v>2774</v>
      </c>
      <c r="H2317" s="8" t="s">
        <v>5159</v>
      </c>
      <c r="I2317" s="3">
        <v>32</v>
      </c>
      <c r="J2317" s="3" t="s">
        <v>5868</v>
      </c>
      <c r="K2317" s="17" t="str">
        <f>HYPERLINK("http://ictvonline.org/taxonomyHistory.asp?taxnode_id=20175676","ICTVonline=20175676")</f>
        <v>ICTVonline=20175676</v>
      </c>
      <c r="L2317" s="3">
        <v>2316</v>
      </c>
    </row>
    <row r="2318" spans="1:12" x14ac:dyDescent="0.15">
      <c r="A2318" s="1" t="s">
        <v>908</v>
      </c>
      <c r="B2318" s="1" t="s">
        <v>5864</v>
      </c>
      <c r="C2318" s="1" t="s">
        <v>5865</v>
      </c>
      <c r="D2318" s="1" t="s">
        <v>5879</v>
      </c>
      <c r="E2318" s="45" t="s">
        <v>5882</v>
      </c>
      <c r="F2318" s="3">
        <v>0</v>
      </c>
      <c r="G2318" s="8" t="s">
        <v>2774</v>
      </c>
      <c r="H2318" s="8" t="s">
        <v>5159</v>
      </c>
      <c r="I2318" s="3">
        <v>32</v>
      </c>
      <c r="J2318" s="3" t="s">
        <v>5868</v>
      </c>
      <c r="K2318" s="17" t="str">
        <f>HYPERLINK("http://ictvonline.org/taxonomyHistory.asp?taxnode_id=20175677","ICTVonline=20175677")</f>
        <v>ICTVonline=20175677</v>
      </c>
      <c r="L2318" s="3">
        <v>2317</v>
      </c>
    </row>
    <row r="2319" spans="1:12" x14ac:dyDescent="0.15">
      <c r="A2319" s="1" t="s">
        <v>908</v>
      </c>
      <c r="B2319" s="1" t="s">
        <v>5864</v>
      </c>
      <c r="C2319" s="1" t="s">
        <v>5865</v>
      </c>
      <c r="D2319" s="1" t="s">
        <v>5879</v>
      </c>
      <c r="E2319" s="45" t="s">
        <v>5883</v>
      </c>
      <c r="F2319" s="3">
        <v>0</v>
      </c>
      <c r="G2319" s="8" t="s">
        <v>2774</v>
      </c>
      <c r="H2319" s="8" t="s">
        <v>5159</v>
      </c>
      <c r="I2319" s="3">
        <v>32</v>
      </c>
      <c r="J2319" s="3" t="s">
        <v>5868</v>
      </c>
      <c r="K2319" s="17" t="str">
        <f>HYPERLINK("http://ictvonline.org/taxonomyHistory.asp?taxnode_id=20175678","ICTVonline=20175678")</f>
        <v>ICTVonline=20175678</v>
      </c>
      <c r="L2319" s="3">
        <v>2318</v>
      </c>
    </row>
    <row r="2320" spans="1:12" x14ac:dyDescent="0.15">
      <c r="A2320" s="1" t="s">
        <v>908</v>
      </c>
      <c r="B2320" s="1" t="s">
        <v>5864</v>
      </c>
      <c r="C2320" s="1" t="s">
        <v>5865</v>
      </c>
      <c r="D2320" s="1" t="s">
        <v>5879</v>
      </c>
      <c r="E2320" s="45" t="s">
        <v>5884</v>
      </c>
      <c r="F2320" s="3">
        <v>0</v>
      </c>
      <c r="G2320" s="8" t="s">
        <v>2774</v>
      </c>
      <c r="H2320" s="8" t="s">
        <v>5159</v>
      </c>
      <c r="I2320" s="3">
        <v>32</v>
      </c>
      <c r="J2320" s="3" t="s">
        <v>5868</v>
      </c>
      <c r="K2320" s="17" t="str">
        <f>HYPERLINK("http://ictvonline.org/taxonomyHistory.asp?taxnode_id=20175679","ICTVonline=20175679")</f>
        <v>ICTVonline=20175679</v>
      </c>
      <c r="L2320" s="3">
        <v>2319</v>
      </c>
    </row>
    <row r="2321" spans="1:12" x14ac:dyDescent="0.15">
      <c r="A2321" s="1" t="s">
        <v>908</v>
      </c>
      <c r="B2321" s="1" t="s">
        <v>5864</v>
      </c>
      <c r="C2321" s="1" t="s">
        <v>5865</v>
      </c>
      <c r="D2321" s="1" t="s">
        <v>5879</v>
      </c>
      <c r="E2321" s="45" t="s">
        <v>5885</v>
      </c>
      <c r="F2321" s="3">
        <v>0</v>
      </c>
      <c r="G2321" s="8" t="s">
        <v>2774</v>
      </c>
      <c r="H2321" s="8" t="s">
        <v>5159</v>
      </c>
      <c r="I2321" s="3">
        <v>32</v>
      </c>
      <c r="J2321" s="3" t="s">
        <v>5868</v>
      </c>
      <c r="K2321" s="17" t="str">
        <f>HYPERLINK("http://ictvonline.org/taxonomyHistory.asp?taxnode_id=20175680","ICTVonline=20175680")</f>
        <v>ICTVonline=20175680</v>
      </c>
      <c r="L2321" s="3">
        <v>2320</v>
      </c>
    </row>
    <row r="2322" spans="1:12" x14ac:dyDescent="0.15">
      <c r="A2322" s="1" t="s">
        <v>908</v>
      </c>
      <c r="B2322" s="1" t="s">
        <v>5864</v>
      </c>
      <c r="C2322" s="1" t="s">
        <v>5865</v>
      </c>
      <c r="D2322" s="1" t="s">
        <v>5879</v>
      </c>
      <c r="E2322" s="45" t="s">
        <v>5886</v>
      </c>
      <c r="F2322" s="3">
        <v>0</v>
      </c>
      <c r="G2322" s="8" t="s">
        <v>2774</v>
      </c>
      <c r="H2322" s="8" t="s">
        <v>5159</v>
      </c>
      <c r="I2322" s="3">
        <v>32</v>
      </c>
      <c r="J2322" s="3" t="s">
        <v>5868</v>
      </c>
      <c r="K2322" s="17" t="str">
        <f>HYPERLINK("http://ictvonline.org/taxonomyHistory.asp?taxnode_id=20175681","ICTVonline=20175681")</f>
        <v>ICTVonline=20175681</v>
      </c>
      <c r="L2322" s="3">
        <v>2321</v>
      </c>
    </row>
    <row r="2323" spans="1:12" x14ac:dyDescent="0.15">
      <c r="A2323" s="1" t="s">
        <v>908</v>
      </c>
      <c r="B2323" s="1" t="s">
        <v>5864</v>
      </c>
      <c r="C2323" s="1" t="s">
        <v>5865</v>
      </c>
      <c r="D2323" s="1" t="s">
        <v>5879</v>
      </c>
      <c r="E2323" s="45" t="s">
        <v>5887</v>
      </c>
      <c r="F2323" s="3">
        <v>0</v>
      </c>
      <c r="G2323" s="8" t="s">
        <v>2774</v>
      </c>
      <c r="H2323" s="8" t="s">
        <v>5159</v>
      </c>
      <c r="I2323" s="3">
        <v>32</v>
      </c>
      <c r="J2323" s="3" t="s">
        <v>5868</v>
      </c>
      <c r="K2323" s="17" t="str">
        <f>HYPERLINK("http://ictvonline.org/taxonomyHistory.asp?taxnode_id=20175682","ICTVonline=20175682")</f>
        <v>ICTVonline=20175682</v>
      </c>
      <c r="L2323" s="3">
        <v>2322</v>
      </c>
    </row>
    <row r="2324" spans="1:12" x14ac:dyDescent="0.15">
      <c r="A2324" s="1" t="s">
        <v>908</v>
      </c>
      <c r="B2324" s="1" t="s">
        <v>5864</v>
      </c>
      <c r="C2324" s="1" t="s">
        <v>5865</v>
      </c>
      <c r="D2324" s="1" t="s">
        <v>5879</v>
      </c>
      <c r="E2324" s="45" t="s">
        <v>5888</v>
      </c>
      <c r="F2324" s="3">
        <v>0</v>
      </c>
      <c r="G2324" s="8" t="s">
        <v>2774</v>
      </c>
      <c r="H2324" s="8" t="s">
        <v>5159</v>
      </c>
      <c r="I2324" s="3">
        <v>32</v>
      </c>
      <c r="J2324" s="3" t="s">
        <v>5868</v>
      </c>
      <c r="K2324" s="17" t="str">
        <f>HYPERLINK("http://ictvonline.org/taxonomyHistory.asp?taxnode_id=20175683","ICTVonline=20175683")</f>
        <v>ICTVonline=20175683</v>
      </c>
      <c r="L2324" s="3">
        <v>2323</v>
      </c>
    </row>
    <row r="2325" spans="1:12" x14ac:dyDescent="0.15">
      <c r="A2325" s="1" t="s">
        <v>908</v>
      </c>
      <c r="B2325" s="1" t="s">
        <v>5864</v>
      </c>
      <c r="C2325" s="1" t="s">
        <v>5865</v>
      </c>
      <c r="D2325" s="1" t="s">
        <v>5879</v>
      </c>
      <c r="E2325" s="45" t="s">
        <v>5889</v>
      </c>
      <c r="F2325" s="3">
        <v>0</v>
      </c>
      <c r="G2325" s="8" t="s">
        <v>2774</v>
      </c>
      <c r="H2325" s="8" t="s">
        <v>5159</v>
      </c>
      <c r="I2325" s="3">
        <v>32</v>
      </c>
      <c r="J2325" s="3" t="s">
        <v>5868</v>
      </c>
      <c r="K2325" s="17" t="str">
        <f>HYPERLINK("http://ictvonline.org/taxonomyHistory.asp?taxnode_id=20175684","ICTVonline=20175684")</f>
        <v>ICTVonline=20175684</v>
      </c>
      <c r="L2325" s="3">
        <v>2324</v>
      </c>
    </row>
    <row r="2326" spans="1:12" x14ac:dyDescent="0.15">
      <c r="A2326" s="1" t="s">
        <v>908</v>
      </c>
      <c r="B2326" s="1" t="s">
        <v>5864</v>
      </c>
      <c r="C2326" s="1" t="s">
        <v>5865</v>
      </c>
      <c r="D2326" s="1" t="s">
        <v>5879</v>
      </c>
      <c r="E2326" s="45" t="s">
        <v>5890</v>
      </c>
      <c r="F2326" s="3">
        <v>1</v>
      </c>
      <c r="G2326" s="8" t="s">
        <v>2774</v>
      </c>
      <c r="H2326" s="8" t="s">
        <v>5159</v>
      </c>
      <c r="I2326" s="3">
        <v>32</v>
      </c>
      <c r="J2326" s="3" t="s">
        <v>5868</v>
      </c>
      <c r="K2326" s="17" t="str">
        <f>HYPERLINK("http://ictvonline.org/taxonomyHistory.asp?taxnode_id=20175685","ICTVonline=20175685")</f>
        <v>ICTVonline=20175685</v>
      </c>
      <c r="L2326" s="3">
        <v>2325</v>
      </c>
    </row>
    <row r="2327" spans="1:12" x14ac:dyDescent="0.15">
      <c r="A2327" s="1" t="s">
        <v>908</v>
      </c>
      <c r="B2327" s="1" t="s">
        <v>5864</v>
      </c>
      <c r="C2327" s="1" t="s">
        <v>5865</v>
      </c>
      <c r="D2327" s="1" t="s">
        <v>5879</v>
      </c>
      <c r="E2327" s="45" t="s">
        <v>5891</v>
      </c>
      <c r="F2327" s="3">
        <v>0</v>
      </c>
      <c r="G2327" s="8" t="s">
        <v>2774</v>
      </c>
      <c r="H2327" s="8" t="s">
        <v>5159</v>
      </c>
      <c r="I2327" s="3">
        <v>32</v>
      </c>
      <c r="J2327" s="3" t="s">
        <v>5868</v>
      </c>
      <c r="K2327" s="17" t="str">
        <f>HYPERLINK("http://ictvonline.org/taxonomyHistory.asp?taxnode_id=20175686","ICTVonline=20175686")</f>
        <v>ICTVonline=20175686</v>
      </c>
      <c r="L2327" s="3">
        <v>2326</v>
      </c>
    </row>
    <row r="2328" spans="1:12" x14ac:dyDescent="0.15">
      <c r="A2328" s="1" t="s">
        <v>908</v>
      </c>
      <c r="B2328" s="1" t="s">
        <v>5864</v>
      </c>
      <c r="C2328" s="1" t="s">
        <v>5865</v>
      </c>
      <c r="D2328" s="1" t="s">
        <v>5879</v>
      </c>
      <c r="E2328" s="45" t="s">
        <v>5892</v>
      </c>
      <c r="F2328" s="3">
        <v>0</v>
      </c>
      <c r="G2328" s="8" t="s">
        <v>2774</v>
      </c>
      <c r="H2328" s="8" t="s">
        <v>5159</v>
      </c>
      <c r="I2328" s="3">
        <v>32</v>
      </c>
      <c r="J2328" s="3" t="s">
        <v>5868</v>
      </c>
      <c r="K2328" s="17" t="str">
        <f>HYPERLINK("http://ictvonline.org/taxonomyHistory.asp?taxnode_id=20175687","ICTVonline=20175687")</f>
        <v>ICTVonline=20175687</v>
      </c>
      <c r="L2328" s="3">
        <v>2327</v>
      </c>
    </row>
    <row r="2329" spans="1:12" x14ac:dyDescent="0.15">
      <c r="A2329" s="1" t="s">
        <v>908</v>
      </c>
      <c r="B2329" s="1" t="s">
        <v>5864</v>
      </c>
      <c r="C2329" s="1" t="s">
        <v>5865</v>
      </c>
      <c r="D2329" s="1" t="s">
        <v>5879</v>
      </c>
      <c r="E2329" s="45" t="s">
        <v>5893</v>
      </c>
      <c r="F2329" s="3">
        <v>0</v>
      </c>
      <c r="G2329" s="8" t="s">
        <v>2774</v>
      </c>
      <c r="H2329" s="8" t="s">
        <v>5159</v>
      </c>
      <c r="I2329" s="3">
        <v>32</v>
      </c>
      <c r="J2329" s="3" t="s">
        <v>5868</v>
      </c>
      <c r="K2329" s="17" t="str">
        <f>HYPERLINK("http://ictvonline.org/taxonomyHistory.asp?taxnode_id=20175688","ICTVonline=20175688")</f>
        <v>ICTVonline=20175688</v>
      </c>
      <c r="L2329" s="3">
        <v>2328</v>
      </c>
    </row>
    <row r="2330" spans="1:12" x14ac:dyDescent="0.15">
      <c r="A2330" s="1" t="s">
        <v>908</v>
      </c>
      <c r="B2330" s="1" t="s">
        <v>5864</v>
      </c>
      <c r="C2330" s="1" t="s">
        <v>5865</v>
      </c>
      <c r="D2330" s="1" t="s">
        <v>5879</v>
      </c>
      <c r="E2330" s="45" t="s">
        <v>5894</v>
      </c>
      <c r="F2330" s="3">
        <v>0</v>
      </c>
      <c r="G2330" s="8" t="s">
        <v>2774</v>
      </c>
      <c r="H2330" s="8" t="s">
        <v>5159</v>
      </c>
      <c r="I2330" s="3">
        <v>32</v>
      </c>
      <c r="J2330" s="3" t="s">
        <v>5868</v>
      </c>
      <c r="K2330" s="17" t="str">
        <f>HYPERLINK("http://ictvonline.org/taxonomyHistory.asp?taxnode_id=20175689","ICTVonline=20175689")</f>
        <v>ICTVonline=20175689</v>
      </c>
      <c r="L2330" s="3">
        <v>2329</v>
      </c>
    </row>
    <row r="2331" spans="1:12" x14ac:dyDescent="0.15">
      <c r="A2331" s="1" t="s">
        <v>908</v>
      </c>
      <c r="B2331" s="1" t="s">
        <v>5864</v>
      </c>
      <c r="C2331" s="1" t="s">
        <v>5865</v>
      </c>
      <c r="D2331" s="1" t="s">
        <v>5879</v>
      </c>
      <c r="E2331" s="45" t="s">
        <v>5895</v>
      </c>
      <c r="F2331" s="3">
        <v>0</v>
      </c>
      <c r="G2331" s="8" t="s">
        <v>2774</v>
      </c>
      <c r="H2331" s="8" t="s">
        <v>5159</v>
      </c>
      <c r="I2331" s="3">
        <v>32</v>
      </c>
      <c r="J2331" s="3" t="s">
        <v>5868</v>
      </c>
      <c r="K2331" s="17" t="str">
        <f>HYPERLINK("http://ictvonline.org/taxonomyHistory.asp?taxnode_id=20175690","ICTVonline=20175690")</f>
        <v>ICTVonline=20175690</v>
      </c>
      <c r="L2331" s="3">
        <v>2330</v>
      </c>
    </row>
    <row r="2332" spans="1:12" x14ac:dyDescent="0.15">
      <c r="A2332" s="1" t="s">
        <v>908</v>
      </c>
      <c r="B2332" s="1" t="s">
        <v>5864</v>
      </c>
      <c r="C2332" s="1" t="s">
        <v>5865</v>
      </c>
      <c r="D2332" s="1" t="s">
        <v>5879</v>
      </c>
      <c r="E2332" s="45" t="s">
        <v>5896</v>
      </c>
      <c r="F2332" s="3">
        <v>0</v>
      </c>
      <c r="G2332" s="8" t="s">
        <v>2774</v>
      </c>
      <c r="H2332" s="8" t="s">
        <v>5159</v>
      </c>
      <c r="I2332" s="3">
        <v>32</v>
      </c>
      <c r="J2332" s="3" t="s">
        <v>5868</v>
      </c>
      <c r="K2332" s="17" t="str">
        <f>HYPERLINK("http://ictvonline.org/taxonomyHistory.asp?taxnode_id=20175691","ICTVonline=20175691")</f>
        <v>ICTVonline=20175691</v>
      </c>
      <c r="L2332" s="3">
        <v>2331</v>
      </c>
    </row>
    <row r="2333" spans="1:12" x14ac:dyDescent="0.15">
      <c r="A2333" s="1" t="s">
        <v>908</v>
      </c>
      <c r="B2333" s="1" t="s">
        <v>5864</v>
      </c>
      <c r="C2333" s="1" t="s">
        <v>5865</v>
      </c>
      <c r="D2333" s="1" t="s">
        <v>5879</v>
      </c>
      <c r="E2333" s="45" t="s">
        <v>5897</v>
      </c>
      <c r="F2333" s="3">
        <v>0</v>
      </c>
      <c r="G2333" s="8" t="s">
        <v>2774</v>
      </c>
      <c r="H2333" s="8" t="s">
        <v>5159</v>
      </c>
      <c r="I2333" s="3">
        <v>32</v>
      </c>
      <c r="J2333" s="3" t="s">
        <v>5868</v>
      </c>
      <c r="K2333" s="17" t="str">
        <f>HYPERLINK("http://ictvonline.org/taxonomyHistory.asp?taxnode_id=20175692","ICTVonline=20175692")</f>
        <v>ICTVonline=20175692</v>
      </c>
      <c r="L2333" s="3">
        <v>2332</v>
      </c>
    </row>
    <row r="2334" spans="1:12" x14ac:dyDescent="0.15">
      <c r="A2334" s="1" t="s">
        <v>908</v>
      </c>
      <c r="B2334" s="1" t="s">
        <v>5864</v>
      </c>
      <c r="C2334" s="1" t="s">
        <v>5865</v>
      </c>
      <c r="D2334" s="1" t="s">
        <v>5879</v>
      </c>
      <c r="E2334" s="45" t="s">
        <v>5898</v>
      </c>
      <c r="F2334" s="3">
        <v>0</v>
      </c>
      <c r="G2334" s="8" t="s">
        <v>2774</v>
      </c>
      <c r="H2334" s="8" t="s">
        <v>5159</v>
      </c>
      <c r="I2334" s="3">
        <v>32</v>
      </c>
      <c r="J2334" s="3" t="s">
        <v>5868</v>
      </c>
      <c r="K2334" s="17" t="str">
        <f>HYPERLINK("http://ictvonline.org/taxonomyHistory.asp?taxnode_id=20175693","ICTVonline=20175693")</f>
        <v>ICTVonline=20175693</v>
      </c>
      <c r="L2334" s="3">
        <v>2333</v>
      </c>
    </row>
    <row r="2335" spans="1:12" x14ac:dyDescent="0.15">
      <c r="A2335" s="1" t="s">
        <v>908</v>
      </c>
      <c r="B2335" s="1" t="s">
        <v>5864</v>
      </c>
      <c r="C2335" s="1" t="s">
        <v>5865</v>
      </c>
      <c r="D2335" s="1" t="s">
        <v>5879</v>
      </c>
      <c r="E2335" s="45" t="s">
        <v>5899</v>
      </c>
      <c r="F2335" s="3">
        <v>0</v>
      </c>
      <c r="G2335" s="8" t="s">
        <v>2774</v>
      </c>
      <c r="H2335" s="8" t="s">
        <v>5159</v>
      </c>
      <c r="I2335" s="3">
        <v>32</v>
      </c>
      <c r="J2335" s="3" t="s">
        <v>5868</v>
      </c>
      <c r="K2335" s="17" t="str">
        <f>HYPERLINK("http://ictvonline.org/taxonomyHistory.asp?taxnode_id=20175694","ICTVonline=20175694")</f>
        <v>ICTVonline=20175694</v>
      </c>
      <c r="L2335" s="3">
        <v>2334</v>
      </c>
    </row>
    <row r="2336" spans="1:12" x14ac:dyDescent="0.15">
      <c r="A2336" s="1" t="s">
        <v>908</v>
      </c>
      <c r="B2336" s="1" t="s">
        <v>5864</v>
      </c>
      <c r="C2336" s="1" t="s">
        <v>5865</v>
      </c>
      <c r="D2336" s="1" t="s">
        <v>5879</v>
      </c>
      <c r="E2336" s="45" t="s">
        <v>5900</v>
      </c>
      <c r="F2336" s="3">
        <v>0</v>
      </c>
      <c r="G2336" s="8" t="s">
        <v>2774</v>
      </c>
      <c r="H2336" s="8" t="s">
        <v>5159</v>
      </c>
      <c r="I2336" s="3">
        <v>32</v>
      </c>
      <c r="J2336" s="3" t="s">
        <v>5868</v>
      </c>
      <c r="K2336" s="17" t="str">
        <f>HYPERLINK("http://ictvonline.org/taxonomyHistory.asp?taxnode_id=20175695","ICTVonline=20175695")</f>
        <v>ICTVonline=20175695</v>
      </c>
      <c r="L2336" s="3">
        <v>2335</v>
      </c>
    </row>
    <row r="2337" spans="1:12" x14ac:dyDescent="0.15">
      <c r="A2337" s="1" t="s">
        <v>908</v>
      </c>
      <c r="B2337" s="1" t="s">
        <v>5864</v>
      </c>
      <c r="C2337" s="1" t="s">
        <v>5865</v>
      </c>
      <c r="D2337" s="1" t="s">
        <v>5879</v>
      </c>
      <c r="E2337" s="45" t="s">
        <v>5901</v>
      </c>
      <c r="F2337" s="3">
        <v>0</v>
      </c>
      <c r="G2337" s="8" t="s">
        <v>2774</v>
      </c>
      <c r="H2337" s="8" t="s">
        <v>5159</v>
      </c>
      <c r="I2337" s="3">
        <v>32</v>
      </c>
      <c r="J2337" s="3" t="s">
        <v>5868</v>
      </c>
      <c r="K2337" s="17" t="str">
        <f>HYPERLINK("http://ictvonline.org/taxonomyHistory.asp?taxnode_id=20175696","ICTVonline=20175696")</f>
        <v>ICTVonline=20175696</v>
      </c>
      <c r="L2337" s="3">
        <v>2336</v>
      </c>
    </row>
    <row r="2338" spans="1:12" x14ac:dyDescent="0.15">
      <c r="A2338" s="1" t="s">
        <v>908</v>
      </c>
      <c r="B2338" s="1" t="s">
        <v>5864</v>
      </c>
      <c r="C2338" s="1" t="s">
        <v>5865</v>
      </c>
      <c r="D2338" s="1" t="s">
        <v>5879</v>
      </c>
      <c r="E2338" s="45" t="s">
        <v>5902</v>
      </c>
      <c r="F2338" s="3">
        <v>0</v>
      </c>
      <c r="G2338" s="8" t="s">
        <v>2774</v>
      </c>
      <c r="H2338" s="8" t="s">
        <v>5159</v>
      </c>
      <c r="I2338" s="3">
        <v>32</v>
      </c>
      <c r="J2338" s="3" t="s">
        <v>5868</v>
      </c>
      <c r="K2338" s="17" t="str">
        <f>HYPERLINK("http://ictvonline.org/taxonomyHistory.asp?taxnode_id=20175697","ICTVonline=20175697")</f>
        <v>ICTVonline=20175697</v>
      </c>
      <c r="L2338" s="3">
        <v>2337</v>
      </c>
    </row>
    <row r="2339" spans="1:12" x14ac:dyDescent="0.15">
      <c r="A2339" s="1" t="s">
        <v>908</v>
      </c>
      <c r="B2339" s="1" t="s">
        <v>5864</v>
      </c>
      <c r="C2339" s="1" t="s">
        <v>5865</v>
      </c>
      <c r="D2339" s="1" t="s">
        <v>5879</v>
      </c>
      <c r="E2339" s="45" t="s">
        <v>5903</v>
      </c>
      <c r="F2339" s="3">
        <v>0</v>
      </c>
      <c r="G2339" s="8" t="s">
        <v>2774</v>
      </c>
      <c r="H2339" s="8" t="s">
        <v>5159</v>
      </c>
      <c r="I2339" s="3">
        <v>32</v>
      </c>
      <c r="J2339" s="3" t="s">
        <v>5868</v>
      </c>
      <c r="K2339" s="17" t="str">
        <f>HYPERLINK("http://ictvonline.org/taxonomyHistory.asp?taxnode_id=20175698","ICTVonline=20175698")</f>
        <v>ICTVonline=20175698</v>
      </c>
      <c r="L2339" s="3">
        <v>2338</v>
      </c>
    </row>
    <row r="2340" spans="1:12" x14ac:dyDescent="0.15">
      <c r="A2340" s="1" t="s">
        <v>908</v>
      </c>
      <c r="B2340" s="1" t="s">
        <v>5864</v>
      </c>
      <c r="C2340" s="1" t="s">
        <v>5865</v>
      </c>
      <c r="D2340" s="1" t="s">
        <v>5879</v>
      </c>
      <c r="E2340" s="45" t="s">
        <v>5904</v>
      </c>
      <c r="F2340" s="3">
        <v>0</v>
      </c>
      <c r="G2340" s="8" t="s">
        <v>2774</v>
      </c>
      <c r="H2340" s="8" t="s">
        <v>5159</v>
      </c>
      <c r="I2340" s="3">
        <v>32</v>
      </c>
      <c r="J2340" s="3" t="s">
        <v>5868</v>
      </c>
      <c r="K2340" s="17" t="str">
        <f>HYPERLINK("http://ictvonline.org/taxonomyHistory.asp?taxnode_id=20175699","ICTVonline=20175699")</f>
        <v>ICTVonline=20175699</v>
      </c>
      <c r="L2340" s="3">
        <v>2339</v>
      </c>
    </row>
    <row r="2341" spans="1:12" x14ac:dyDescent="0.15">
      <c r="A2341" s="1" t="s">
        <v>908</v>
      </c>
      <c r="B2341" s="1" t="s">
        <v>5864</v>
      </c>
      <c r="C2341" s="1" t="s">
        <v>5865</v>
      </c>
      <c r="D2341" s="1" t="s">
        <v>5905</v>
      </c>
      <c r="E2341" s="45" t="s">
        <v>5906</v>
      </c>
      <c r="F2341" s="3">
        <v>1</v>
      </c>
      <c r="G2341" s="8" t="s">
        <v>2774</v>
      </c>
      <c r="H2341" s="8" t="s">
        <v>5159</v>
      </c>
      <c r="I2341" s="3">
        <v>32</v>
      </c>
      <c r="J2341" s="3" t="s">
        <v>5868</v>
      </c>
      <c r="K2341" s="17" t="str">
        <f>HYPERLINK("http://ictvonline.org/taxonomyHistory.asp?taxnode_id=20175701","ICTVonline=20175701")</f>
        <v>ICTVonline=20175701</v>
      </c>
      <c r="L2341" s="3">
        <v>2340</v>
      </c>
    </row>
    <row r="2342" spans="1:12" x14ac:dyDescent="0.15">
      <c r="A2342" s="1" t="s">
        <v>908</v>
      </c>
      <c r="B2342" s="1" t="s">
        <v>5864</v>
      </c>
      <c r="C2342" s="1" t="s">
        <v>5865</v>
      </c>
      <c r="D2342" s="1" t="s">
        <v>5905</v>
      </c>
      <c r="E2342" s="45" t="s">
        <v>5907</v>
      </c>
      <c r="F2342" s="3">
        <v>0</v>
      </c>
      <c r="G2342" s="8" t="s">
        <v>2774</v>
      </c>
      <c r="H2342" s="8" t="s">
        <v>5159</v>
      </c>
      <c r="I2342" s="3">
        <v>32</v>
      </c>
      <c r="J2342" s="3" t="s">
        <v>5868</v>
      </c>
      <c r="K2342" s="17" t="str">
        <f>HYPERLINK("http://ictvonline.org/taxonomyHistory.asp?taxnode_id=20175702","ICTVonline=20175702")</f>
        <v>ICTVonline=20175702</v>
      </c>
      <c r="L2342" s="3">
        <v>2341</v>
      </c>
    </row>
    <row r="2343" spans="1:12" x14ac:dyDescent="0.15">
      <c r="A2343" s="1" t="s">
        <v>908</v>
      </c>
      <c r="B2343" s="1" t="s">
        <v>5864</v>
      </c>
      <c r="C2343" s="1" t="s">
        <v>5865</v>
      </c>
      <c r="D2343" s="1" t="s">
        <v>5905</v>
      </c>
      <c r="E2343" s="45" t="s">
        <v>5908</v>
      </c>
      <c r="F2343" s="3">
        <v>0</v>
      </c>
      <c r="G2343" s="8" t="s">
        <v>2774</v>
      </c>
      <c r="H2343" s="8" t="s">
        <v>5159</v>
      </c>
      <c r="I2343" s="3">
        <v>32</v>
      </c>
      <c r="J2343" s="3" t="s">
        <v>5868</v>
      </c>
      <c r="K2343" s="17" t="str">
        <f>HYPERLINK("http://ictvonline.org/taxonomyHistory.asp?taxnode_id=20175703","ICTVonline=20175703")</f>
        <v>ICTVonline=20175703</v>
      </c>
      <c r="L2343" s="3">
        <v>2342</v>
      </c>
    </row>
    <row r="2344" spans="1:12" x14ac:dyDescent="0.15">
      <c r="A2344" s="1" t="s">
        <v>908</v>
      </c>
      <c r="B2344" s="1" t="s">
        <v>5864</v>
      </c>
      <c r="C2344" s="1" t="s">
        <v>5865</v>
      </c>
      <c r="D2344" s="1" t="s">
        <v>5905</v>
      </c>
      <c r="E2344" s="45" t="s">
        <v>5909</v>
      </c>
      <c r="F2344" s="3">
        <v>0</v>
      </c>
      <c r="G2344" s="8" t="s">
        <v>2774</v>
      </c>
      <c r="H2344" s="8" t="s">
        <v>5159</v>
      </c>
      <c r="I2344" s="3">
        <v>32</v>
      </c>
      <c r="J2344" s="3" t="s">
        <v>5868</v>
      </c>
      <c r="K2344" s="17" t="str">
        <f>HYPERLINK("http://ictvonline.org/taxonomyHistory.asp?taxnode_id=20175704","ICTVonline=20175704")</f>
        <v>ICTVonline=20175704</v>
      </c>
      <c r="L2344" s="3">
        <v>2343</v>
      </c>
    </row>
    <row r="2345" spans="1:12" x14ac:dyDescent="0.15">
      <c r="A2345" s="1" t="s">
        <v>908</v>
      </c>
      <c r="B2345" s="1" t="s">
        <v>5864</v>
      </c>
      <c r="C2345" s="1" t="s">
        <v>5865</v>
      </c>
      <c r="D2345" s="1" t="s">
        <v>5905</v>
      </c>
      <c r="E2345" s="45" t="s">
        <v>5910</v>
      </c>
      <c r="F2345" s="3">
        <v>0</v>
      </c>
      <c r="G2345" s="8" t="s">
        <v>2774</v>
      </c>
      <c r="H2345" s="8" t="s">
        <v>5159</v>
      </c>
      <c r="I2345" s="3">
        <v>32</v>
      </c>
      <c r="J2345" s="3" t="s">
        <v>5868</v>
      </c>
      <c r="K2345" s="17" t="str">
        <f>HYPERLINK("http://ictvonline.org/taxonomyHistory.asp?taxnode_id=20175705","ICTVonline=20175705")</f>
        <v>ICTVonline=20175705</v>
      </c>
      <c r="L2345" s="3">
        <v>2344</v>
      </c>
    </row>
    <row r="2346" spans="1:12" x14ac:dyDescent="0.15">
      <c r="A2346" s="1" t="s">
        <v>908</v>
      </c>
      <c r="B2346" s="1" t="s">
        <v>5864</v>
      </c>
      <c r="C2346" s="1" t="s">
        <v>5865</v>
      </c>
      <c r="D2346" s="1" t="s">
        <v>5905</v>
      </c>
      <c r="E2346" s="45" t="s">
        <v>5911</v>
      </c>
      <c r="F2346" s="3">
        <v>0</v>
      </c>
      <c r="G2346" s="8" t="s">
        <v>2774</v>
      </c>
      <c r="H2346" s="8" t="s">
        <v>5159</v>
      </c>
      <c r="I2346" s="3">
        <v>32</v>
      </c>
      <c r="J2346" s="3" t="s">
        <v>5868</v>
      </c>
      <c r="K2346" s="17" t="str">
        <f>HYPERLINK("http://ictvonline.org/taxonomyHistory.asp?taxnode_id=20175706","ICTVonline=20175706")</f>
        <v>ICTVonline=20175706</v>
      </c>
      <c r="L2346" s="3">
        <v>2345</v>
      </c>
    </row>
    <row r="2347" spans="1:12" x14ac:dyDescent="0.15">
      <c r="A2347" s="1" t="s">
        <v>908</v>
      </c>
      <c r="B2347" s="1" t="s">
        <v>5864</v>
      </c>
      <c r="C2347" s="1" t="s">
        <v>5865</v>
      </c>
      <c r="D2347" s="1" t="s">
        <v>908</v>
      </c>
      <c r="E2347" s="45" t="s">
        <v>5912</v>
      </c>
      <c r="F2347" s="3">
        <v>0</v>
      </c>
      <c r="G2347" s="8" t="s">
        <v>2774</v>
      </c>
      <c r="H2347" s="8" t="s">
        <v>5159</v>
      </c>
      <c r="I2347" s="3">
        <v>32</v>
      </c>
      <c r="J2347" s="3" t="s">
        <v>5868</v>
      </c>
      <c r="K2347" s="17" t="str">
        <f>HYPERLINK("http://ictvonline.org/taxonomyHistory.asp?taxnode_id=20175708","ICTVonline=20175708")</f>
        <v>ICTVonline=20175708</v>
      </c>
      <c r="L2347" s="3">
        <v>2346</v>
      </c>
    </row>
    <row r="2348" spans="1:12" x14ac:dyDescent="0.15">
      <c r="A2348" s="1" t="s">
        <v>908</v>
      </c>
      <c r="B2348" s="1" t="s">
        <v>5864</v>
      </c>
      <c r="C2348" s="1" t="s">
        <v>5865</v>
      </c>
      <c r="D2348" s="1" t="s">
        <v>908</v>
      </c>
      <c r="E2348" s="45" t="s">
        <v>5913</v>
      </c>
      <c r="F2348" s="3">
        <v>0</v>
      </c>
      <c r="G2348" s="8" t="s">
        <v>2774</v>
      </c>
      <c r="H2348" s="8" t="s">
        <v>5159</v>
      </c>
      <c r="I2348" s="3">
        <v>32</v>
      </c>
      <c r="J2348" s="3" t="s">
        <v>5868</v>
      </c>
      <c r="K2348" s="17" t="str">
        <f>HYPERLINK("http://ictvonline.org/taxonomyHistory.asp?taxnode_id=20175709","ICTVonline=20175709")</f>
        <v>ICTVonline=20175709</v>
      </c>
      <c r="L2348" s="3">
        <v>2347</v>
      </c>
    </row>
    <row r="2349" spans="1:12" x14ac:dyDescent="0.15">
      <c r="A2349" s="1" t="s">
        <v>908</v>
      </c>
      <c r="B2349" s="1" t="s">
        <v>5864</v>
      </c>
      <c r="C2349" s="1" t="s">
        <v>5914</v>
      </c>
      <c r="D2349" s="1" t="s">
        <v>5915</v>
      </c>
      <c r="E2349" s="45" t="s">
        <v>6518</v>
      </c>
      <c r="F2349" s="3">
        <v>0</v>
      </c>
      <c r="G2349" s="8" t="s">
        <v>2774</v>
      </c>
      <c r="H2349" s="8" t="s">
        <v>5159</v>
      </c>
      <c r="I2349" s="3">
        <v>32</v>
      </c>
      <c r="J2349" s="3" t="s">
        <v>5868</v>
      </c>
      <c r="K2349" s="17" t="str">
        <f>HYPERLINK("http://ictvonline.org/taxonomyHistory.asp?taxnode_id=20175711","ICTVonline=20175711")</f>
        <v>ICTVonline=20175711</v>
      </c>
      <c r="L2349" s="3">
        <v>2348</v>
      </c>
    </row>
    <row r="2350" spans="1:12" x14ac:dyDescent="0.15">
      <c r="A2350" s="1" t="s">
        <v>908</v>
      </c>
      <c r="B2350" s="1" t="s">
        <v>5864</v>
      </c>
      <c r="C2350" s="1" t="s">
        <v>5914</v>
      </c>
      <c r="D2350" s="1" t="s">
        <v>5915</v>
      </c>
      <c r="E2350" s="45" t="s">
        <v>5916</v>
      </c>
      <c r="F2350" s="3">
        <v>1</v>
      </c>
      <c r="G2350" s="8" t="s">
        <v>2774</v>
      </c>
      <c r="H2350" s="8" t="s">
        <v>5159</v>
      </c>
      <c r="I2350" s="3">
        <v>32</v>
      </c>
      <c r="J2350" s="3" t="s">
        <v>5868</v>
      </c>
      <c r="K2350" s="17" t="str">
        <f>HYPERLINK("http://ictvonline.org/taxonomyHistory.asp?taxnode_id=20175712","ICTVonline=20175712")</f>
        <v>ICTVonline=20175712</v>
      </c>
      <c r="L2350" s="3">
        <v>2349</v>
      </c>
    </row>
    <row r="2351" spans="1:12" x14ac:dyDescent="0.15">
      <c r="A2351" s="1" t="s">
        <v>908</v>
      </c>
      <c r="B2351" s="1" t="s">
        <v>5864</v>
      </c>
      <c r="C2351" s="1" t="s">
        <v>5914</v>
      </c>
      <c r="D2351" s="1" t="s">
        <v>5915</v>
      </c>
      <c r="E2351" s="45" t="s">
        <v>5917</v>
      </c>
      <c r="F2351" s="3">
        <v>0</v>
      </c>
      <c r="G2351" s="8" t="s">
        <v>2774</v>
      </c>
      <c r="H2351" s="8" t="s">
        <v>5159</v>
      </c>
      <c r="I2351" s="3">
        <v>32</v>
      </c>
      <c r="J2351" s="3" t="s">
        <v>5868</v>
      </c>
      <c r="K2351" s="17" t="str">
        <f>HYPERLINK("http://ictvonline.org/taxonomyHistory.asp?taxnode_id=20175713","ICTVonline=20175713")</f>
        <v>ICTVonline=20175713</v>
      </c>
      <c r="L2351" s="3">
        <v>2350</v>
      </c>
    </row>
    <row r="2352" spans="1:12" x14ac:dyDescent="0.15">
      <c r="A2352" s="1" t="s">
        <v>908</v>
      </c>
      <c r="B2352" s="1" t="s">
        <v>5864</v>
      </c>
      <c r="C2352" s="1" t="s">
        <v>5914</v>
      </c>
      <c r="D2352" s="1" t="s">
        <v>5915</v>
      </c>
      <c r="E2352" s="45" t="s">
        <v>5918</v>
      </c>
      <c r="F2352" s="3">
        <v>0</v>
      </c>
      <c r="G2352" s="8" t="s">
        <v>2774</v>
      </c>
      <c r="H2352" s="8" t="s">
        <v>5159</v>
      </c>
      <c r="I2352" s="3">
        <v>32</v>
      </c>
      <c r="J2352" s="3" t="s">
        <v>5868</v>
      </c>
      <c r="K2352" s="17" t="str">
        <f>HYPERLINK("http://ictvonline.org/taxonomyHistory.asp?taxnode_id=20175714","ICTVonline=20175714")</f>
        <v>ICTVonline=20175714</v>
      </c>
      <c r="L2352" s="3">
        <v>2351</v>
      </c>
    </row>
    <row r="2353" spans="1:12" x14ac:dyDescent="0.15">
      <c r="A2353" s="1" t="s">
        <v>908</v>
      </c>
      <c r="B2353" s="1" t="s">
        <v>5864</v>
      </c>
      <c r="C2353" s="1" t="s">
        <v>5914</v>
      </c>
      <c r="D2353" s="1" t="s">
        <v>5919</v>
      </c>
      <c r="E2353" s="45" t="s">
        <v>6519</v>
      </c>
      <c r="F2353" s="3">
        <v>0</v>
      </c>
      <c r="G2353" s="8" t="s">
        <v>2774</v>
      </c>
      <c r="H2353" s="8" t="s">
        <v>5159</v>
      </c>
      <c r="I2353" s="3">
        <v>32</v>
      </c>
      <c r="J2353" s="3" t="s">
        <v>5868</v>
      </c>
      <c r="K2353" s="17" t="str">
        <f>HYPERLINK("http://ictvonline.org/taxonomyHistory.asp?taxnode_id=20175716","ICTVonline=20175716")</f>
        <v>ICTVonline=20175716</v>
      </c>
      <c r="L2353" s="3">
        <v>2352</v>
      </c>
    </row>
    <row r="2354" spans="1:12" x14ac:dyDescent="0.15">
      <c r="A2354" s="1" t="s">
        <v>908</v>
      </c>
      <c r="B2354" s="1" t="s">
        <v>5864</v>
      </c>
      <c r="C2354" s="1" t="s">
        <v>5914</v>
      </c>
      <c r="D2354" s="1" t="s">
        <v>5919</v>
      </c>
      <c r="E2354" s="45" t="s">
        <v>6520</v>
      </c>
      <c r="F2354" s="3">
        <v>0</v>
      </c>
      <c r="G2354" s="8" t="s">
        <v>2774</v>
      </c>
      <c r="H2354" s="8" t="s">
        <v>5159</v>
      </c>
      <c r="I2354" s="3">
        <v>32</v>
      </c>
      <c r="J2354" s="3" t="s">
        <v>5868</v>
      </c>
      <c r="K2354" s="17" t="str">
        <f>HYPERLINK("http://ictvonline.org/taxonomyHistory.asp?taxnode_id=20175717","ICTVonline=20175717")</f>
        <v>ICTVonline=20175717</v>
      </c>
      <c r="L2354" s="3">
        <v>2353</v>
      </c>
    </row>
    <row r="2355" spans="1:12" x14ac:dyDescent="0.15">
      <c r="A2355" s="1" t="s">
        <v>908</v>
      </c>
      <c r="B2355" s="1" t="s">
        <v>5864</v>
      </c>
      <c r="C2355" s="1" t="s">
        <v>5914</v>
      </c>
      <c r="D2355" s="1" t="s">
        <v>5919</v>
      </c>
      <c r="E2355" s="45" t="s">
        <v>6521</v>
      </c>
      <c r="F2355" s="3">
        <v>0</v>
      </c>
      <c r="G2355" s="8" t="s">
        <v>2774</v>
      </c>
      <c r="H2355" s="8" t="s">
        <v>5159</v>
      </c>
      <c r="I2355" s="3">
        <v>32</v>
      </c>
      <c r="J2355" s="3" t="s">
        <v>5868</v>
      </c>
      <c r="K2355" s="17" t="str">
        <f>HYPERLINK("http://ictvonline.org/taxonomyHistory.asp?taxnode_id=20175718","ICTVonline=20175718")</f>
        <v>ICTVonline=20175718</v>
      </c>
      <c r="L2355" s="3">
        <v>2354</v>
      </c>
    </row>
    <row r="2356" spans="1:12" x14ac:dyDescent="0.15">
      <c r="A2356" s="1" t="s">
        <v>908</v>
      </c>
      <c r="B2356" s="1" t="s">
        <v>5864</v>
      </c>
      <c r="C2356" s="1" t="s">
        <v>5914</v>
      </c>
      <c r="D2356" s="1" t="s">
        <v>5919</v>
      </c>
      <c r="E2356" s="45" t="s">
        <v>6522</v>
      </c>
      <c r="F2356" s="3">
        <v>0</v>
      </c>
      <c r="G2356" s="8" t="s">
        <v>2774</v>
      </c>
      <c r="H2356" s="8" t="s">
        <v>5159</v>
      </c>
      <c r="I2356" s="3">
        <v>32</v>
      </c>
      <c r="J2356" s="3" t="s">
        <v>5868</v>
      </c>
      <c r="K2356" s="17" t="str">
        <f>HYPERLINK("http://ictvonline.org/taxonomyHistory.asp?taxnode_id=20175719","ICTVonline=20175719")</f>
        <v>ICTVonline=20175719</v>
      </c>
      <c r="L2356" s="3">
        <v>2355</v>
      </c>
    </row>
    <row r="2357" spans="1:12" x14ac:dyDescent="0.15">
      <c r="A2357" s="1" t="s">
        <v>908</v>
      </c>
      <c r="B2357" s="1" t="s">
        <v>5864</v>
      </c>
      <c r="C2357" s="1" t="s">
        <v>5914</v>
      </c>
      <c r="D2357" s="1" t="s">
        <v>5919</v>
      </c>
      <c r="E2357" s="45" t="s">
        <v>5920</v>
      </c>
      <c r="F2357" s="3">
        <v>1</v>
      </c>
      <c r="G2357" s="8" t="s">
        <v>2774</v>
      </c>
      <c r="H2357" s="8" t="s">
        <v>5159</v>
      </c>
      <c r="I2357" s="3">
        <v>32</v>
      </c>
      <c r="J2357" s="3" t="s">
        <v>5868</v>
      </c>
      <c r="K2357" s="17" t="str">
        <f>HYPERLINK("http://ictvonline.org/taxonomyHistory.asp?taxnode_id=20175720","ICTVonline=20175720")</f>
        <v>ICTVonline=20175720</v>
      </c>
      <c r="L2357" s="3">
        <v>2356</v>
      </c>
    </row>
    <row r="2358" spans="1:12" x14ac:dyDescent="0.15">
      <c r="A2358" s="1" t="s">
        <v>908</v>
      </c>
      <c r="B2358" s="1" t="s">
        <v>5864</v>
      </c>
      <c r="C2358" s="1" t="s">
        <v>5914</v>
      </c>
      <c r="D2358" s="1" t="s">
        <v>5921</v>
      </c>
      <c r="E2358" s="45" t="s">
        <v>5922</v>
      </c>
      <c r="F2358" s="3">
        <v>1</v>
      </c>
      <c r="G2358" s="8" t="s">
        <v>2774</v>
      </c>
      <c r="H2358" s="8" t="s">
        <v>5159</v>
      </c>
      <c r="I2358" s="3">
        <v>32</v>
      </c>
      <c r="J2358" s="3" t="s">
        <v>5868</v>
      </c>
      <c r="K2358" s="17" t="str">
        <f>HYPERLINK("http://ictvonline.org/taxonomyHistory.asp?taxnode_id=20175722","ICTVonline=20175722")</f>
        <v>ICTVonline=20175722</v>
      </c>
      <c r="L2358" s="3">
        <v>2357</v>
      </c>
    </row>
    <row r="2359" spans="1:12" x14ac:dyDescent="0.15">
      <c r="A2359" s="1" t="s">
        <v>908</v>
      </c>
      <c r="B2359" s="1" t="s">
        <v>5864</v>
      </c>
      <c r="C2359" s="1" t="s">
        <v>5914</v>
      </c>
      <c r="D2359" s="1" t="s">
        <v>5923</v>
      </c>
      <c r="E2359" s="45" t="s">
        <v>6523</v>
      </c>
      <c r="F2359" s="3">
        <v>1</v>
      </c>
      <c r="G2359" s="8" t="s">
        <v>2774</v>
      </c>
      <c r="H2359" s="8" t="s">
        <v>5159</v>
      </c>
      <c r="I2359" s="3">
        <v>32</v>
      </c>
      <c r="J2359" s="3" t="s">
        <v>5868</v>
      </c>
      <c r="K2359" s="17" t="str">
        <f>HYPERLINK("http://ictvonline.org/taxonomyHistory.asp?taxnode_id=20175724","ICTVonline=20175724")</f>
        <v>ICTVonline=20175724</v>
      </c>
      <c r="L2359" s="3">
        <v>2358</v>
      </c>
    </row>
    <row r="2360" spans="1:12" x14ac:dyDescent="0.15">
      <c r="A2360" s="1" t="s">
        <v>908</v>
      </c>
      <c r="B2360" s="1" t="s">
        <v>5864</v>
      </c>
      <c r="C2360" s="1" t="s">
        <v>5914</v>
      </c>
      <c r="D2360" s="1" t="s">
        <v>5924</v>
      </c>
      <c r="E2360" s="45" t="s">
        <v>5925</v>
      </c>
      <c r="F2360" s="3">
        <v>0</v>
      </c>
      <c r="G2360" s="8" t="s">
        <v>2774</v>
      </c>
      <c r="H2360" s="8" t="s">
        <v>5159</v>
      </c>
      <c r="I2360" s="3">
        <v>32</v>
      </c>
      <c r="J2360" s="3" t="s">
        <v>5868</v>
      </c>
      <c r="K2360" s="17" t="str">
        <f>HYPERLINK("http://ictvonline.org/taxonomyHistory.asp?taxnode_id=20175726","ICTVonline=20175726")</f>
        <v>ICTVonline=20175726</v>
      </c>
      <c r="L2360" s="3">
        <v>2359</v>
      </c>
    </row>
    <row r="2361" spans="1:12" x14ac:dyDescent="0.15">
      <c r="A2361" s="1" t="s">
        <v>908</v>
      </c>
      <c r="B2361" s="1" t="s">
        <v>5864</v>
      </c>
      <c r="C2361" s="1" t="s">
        <v>5914</v>
      </c>
      <c r="D2361" s="1" t="s">
        <v>5924</v>
      </c>
      <c r="E2361" s="45" t="s">
        <v>6524</v>
      </c>
      <c r="F2361" s="3">
        <v>1</v>
      </c>
      <c r="G2361" s="8" t="s">
        <v>2774</v>
      </c>
      <c r="H2361" s="8" t="s">
        <v>5159</v>
      </c>
      <c r="I2361" s="3">
        <v>32</v>
      </c>
      <c r="J2361" s="3" t="s">
        <v>5868</v>
      </c>
      <c r="K2361" s="17" t="str">
        <f>HYPERLINK("http://ictvonline.org/taxonomyHistory.asp?taxnode_id=20175727","ICTVonline=20175727")</f>
        <v>ICTVonline=20175727</v>
      </c>
      <c r="L2361" s="3">
        <v>2360</v>
      </c>
    </row>
    <row r="2362" spans="1:12" x14ac:dyDescent="0.15">
      <c r="A2362" s="1" t="s">
        <v>908</v>
      </c>
      <c r="B2362" s="1" t="s">
        <v>5864</v>
      </c>
      <c r="C2362" s="1" t="s">
        <v>5914</v>
      </c>
      <c r="D2362" s="1" t="s">
        <v>5924</v>
      </c>
      <c r="E2362" s="45" t="s">
        <v>6525</v>
      </c>
      <c r="F2362" s="3">
        <v>0</v>
      </c>
      <c r="G2362" s="8" t="s">
        <v>2774</v>
      </c>
      <c r="H2362" s="8" t="s">
        <v>5159</v>
      </c>
      <c r="I2362" s="3">
        <v>32</v>
      </c>
      <c r="J2362" s="3" t="s">
        <v>5868</v>
      </c>
      <c r="K2362" s="17" t="str">
        <f>HYPERLINK("http://ictvonline.org/taxonomyHistory.asp?taxnode_id=20175728","ICTVonline=20175728")</f>
        <v>ICTVonline=20175728</v>
      </c>
      <c r="L2362" s="3">
        <v>2361</v>
      </c>
    </row>
    <row r="2363" spans="1:12" x14ac:dyDescent="0.15">
      <c r="A2363" s="1" t="s">
        <v>908</v>
      </c>
      <c r="B2363" s="1" t="s">
        <v>5864</v>
      </c>
      <c r="C2363" s="1" t="s">
        <v>5914</v>
      </c>
      <c r="D2363" s="1" t="s">
        <v>5924</v>
      </c>
      <c r="E2363" s="45" t="s">
        <v>5926</v>
      </c>
      <c r="F2363" s="3">
        <v>0</v>
      </c>
      <c r="G2363" s="8" t="s">
        <v>2774</v>
      </c>
      <c r="H2363" s="8" t="s">
        <v>5159</v>
      </c>
      <c r="I2363" s="3">
        <v>32</v>
      </c>
      <c r="J2363" s="3" t="s">
        <v>5868</v>
      </c>
      <c r="K2363" s="17" t="str">
        <f>HYPERLINK("http://ictvonline.org/taxonomyHistory.asp?taxnode_id=20175729","ICTVonline=20175729")</f>
        <v>ICTVonline=20175729</v>
      </c>
      <c r="L2363" s="3">
        <v>2362</v>
      </c>
    </row>
    <row r="2364" spans="1:12" x14ac:dyDescent="0.15">
      <c r="A2364" s="1" t="s">
        <v>908</v>
      </c>
      <c r="B2364" s="1" t="s">
        <v>5864</v>
      </c>
      <c r="C2364" s="1" t="s">
        <v>5914</v>
      </c>
      <c r="D2364" s="1" t="s">
        <v>5927</v>
      </c>
      <c r="E2364" s="45" t="s">
        <v>5928</v>
      </c>
      <c r="F2364" s="3">
        <v>1</v>
      </c>
      <c r="G2364" s="8" t="s">
        <v>2774</v>
      </c>
      <c r="H2364" s="8" t="s">
        <v>5159</v>
      </c>
      <c r="I2364" s="3">
        <v>32</v>
      </c>
      <c r="J2364" s="3" t="s">
        <v>5868</v>
      </c>
      <c r="K2364" s="17" t="str">
        <f>HYPERLINK("http://ictvonline.org/taxonomyHistory.asp?taxnode_id=20175731","ICTVonline=20175731")</f>
        <v>ICTVonline=20175731</v>
      </c>
      <c r="L2364" s="3">
        <v>2363</v>
      </c>
    </row>
    <row r="2365" spans="1:12" x14ac:dyDescent="0.15">
      <c r="A2365" s="1" t="s">
        <v>908</v>
      </c>
      <c r="B2365" s="1" t="s">
        <v>5864</v>
      </c>
      <c r="C2365" s="1" t="s">
        <v>5914</v>
      </c>
      <c r="D2365" s="1" t="s">
        <v>5929</v>
      </c>
      <c r="E2365" s="45" t="s">
        <v>5930</v>
      </c>
      <c r="F2365" s="3">
        <v>0</v>
      </c>
      <c r="G2365" s="8" t="s">
        <v>2774</v>
      </c>
      <c r="H2365" s="8" t="s">
        <v>5159</v>
      </c>
      <c r="I2365" s="3">
        <v>32</v>
      </c>
      <c r="J2365" s="3" t="s">
        <v>5868</v>
      </c>
      <c r="K2365" s="17" t="str">
        <f>HYPERLINK("http://ictvonline.org/taxonomyHistory.asp?taxnode_id=20175733","ICTVonline=20175733")</f>
        <v>ICTVonline=20175733</v>
      </c>
      <c r="L2365" s="3">
        <v>2364</v>
      </c>
    </row>
    <row r="2366" spans="1:12" x14ac:dyDescent="0.15">
      <c r="A2366" s="1" t="s">
        <v>908</v>
      </c>
      <c r="B2366" s="1" t="s">
        <v>5864</v>
      </c>
      <c r="C2366" s="1" t="s">
        <v>5914</v>
      </c>
      <c r="D2366" s="1" t="s">
        <v>5929</v>
      </c>
      <c r="E2366" s="45" t="s">
        <v>5931</v>
      </c>
      <c r="F2366" s="3">
        <v>0</v>
      </c>
      <c r="G2366" s="8" t="s">
        <v>2774</v>
      </c>
      <c r="H2366" s="8" t="s">
        <v>5159</v>
      </c>
      <c r="I2366" s="3">
        <v>32</v>
      </c>
      <c r="J2366" s="3" t="s">
        <v>5868</v>
      </c>
      <c r="K2366" s="17" t="str">
        <f>HYPERLINK("http://ictvonline.org/taxonomyHistory.asp?taxnode_id=20175734","ICTVonline=20175734")</f>
        <v>ICTVonline=20175734</v>
      </c>
      <c r="L2366" s="3">
        <v>2365</v>
      </c>
    </row>
    <row r="2367" spans="1:12" x14ac:dyDescent="0.15">
      <c r="A2367" s="1" t="s">
        <v>908</v>
      </c>
      <c r="B2367" s="1" t="s">
        <v>5864</v>
      </c>
      <c r="C2367" s="1" t="s">
        <v>5914</v>
      </c>
      <c r="D2367" s="1" t="s">
        <v>5929</v>
      </c>
      <c r="E2367" s="45" t="s">
        <v>5932</v>
      </c>
      <c r="F2367" s="3">
        <v>1</v>
      </c>
      <c r="G2367" s="8" t="s">
        <v>2774</v>
      </c>
      <c r="H2367" s="8" t="s">
        <v>5159</v>
      </c>
      <c r="I2367" s="3">
        <v>32</v>
      </c>
      <c r="J2367" s="3" t="s">
        <v>5868</v>
      </c>
      <c r="K2367" s="17" t="str">
        <f>HYPERLINK("http://ictvonline.org/taxonomyHistory.asp?taxnode_id=20175735","ICTVonline=20175735")</f>
        <v>ICTVonline=20175735</v>
      </c>
      <c r="L2367" s="3">
        <v>2366</v>
      </c>
    </row>
    <row r="2368" spans="1:12" x14ac:dyDescent="0.15">
      <c r="A2368" s="1" t="s">
        <v>908</v>
      </c>
      <c r="B2368" s="1" t="s">
        <v>5864</v>
      </c>
      <c r="D2368" s="1" t="s">
        <v>908</v>
      </c>
      <c r="E2368" s="45" t="s">
        <v>5933</v>
      </c>
      <c r="F2368" s="3">
        <v>0</v>
      </c>
      <c r="G2368" s="8" t="s">
        <v>2774</v>
      </c>
      <c r="H2368" s="8" t="s">
        <v>5159</v>
      </c>
      <c r="I2368" s="3">
        <v>32</v>
      </c>
      <c r="J2368" s="3" t="s">
        <v>5868</v>
      </c>
      <c r="K2368" s="17" t="str">
        <f>HYPERLINK("http://ictvonline.org/taxonomyHistory.asp?taxnode_id=20175738","ICTVonline=20175738")</f>
        <v>ICTVonline=20175738</v>
      </c>
      <c r="L2368" s="3">
        <v>2367</v>
      </c>
    </row>
    <row r="2369" spans="1:12" x14ac:dyDescent="0.15">
      <c r="A2369" s="1" t="s">
        <v>908</v>
      </c>
      <c r="B2369" s="1" t="s">
        <v>19</v>
      </c>
      <c r="D2369" s="1" t="s">
        <v>1894</v>
      </c>
      <c r="E2369" s="1" t="s">
        <v>1895</v>
      </c>
      <c r="F2369" s="3">
        <v>0</v>
      </c>
      <c r="G2369" s="8" t="s">
        <v>2773</v>
      </c>
      <c r="H2369" s="8" t="s">
        <v>5161</v>
      </c>
      <c r="I2369" s="3">
        <v>26</v>
      </c>
      <c r="J2369" s="3" t="s">
        <v>5934</v>
      </c>
      <c r="K2369" s="17" t="str">
        <f>HYPERLINK("http://ictvonline.org/taxonomyHistory.asp?taxnode_id=20172459","ICTVonline=20172459")</f>
        <v>ICTVonline=20172459</v>
      </c>
      <c r="L2369" s="3">
        <v>2368</v>
      </c>
    </row>
    <row r="2370" spans="1:12" x14ac:dyDescent="0.15">
      <c r="A2370" s="1" t="s">
        <v>908</v>
      </c>
      <c r="B2370" s="1" t="s">
        <v>19</v>
      </c>
      <c r="D2370" s="1" t="s">
        <v>1894</v>
      </c>
      <c r="E2370" s="1" t="s">
        <v>1896</v>
      </c>
      <c r="F2370" s="3">
        <v>0</v>
      </c>
      <c r="G2370" s="8" t="s">
        <v>2773</v>
      </c>
      <c r="H2370" s="8" t="s">
        <v>5161</v>
      </c>
      <c r="I2370" s="3">
        <v>26</v>
      </c>
      <c r="J2370" s="3" t="s">
        <v>5934</v>
      </c>
      <c r="K2370" s="17" t="str">
        <f>HYPERLINK("http://ictvonline.org/taxonomyHistory.asp?taxnode_id=20172460","ICTVonline=20172460")</f>
        <v>ICTVonline=20172460</v>
      </c>
      <c r="L2370" s="3">
        <v>2369</v>
      </c>
    </row>
    <row r="2371" spans="1:12" x14ac:dyDescent="0.15">
      <c r="A2371" s="1" t="s">
        <v>908</v>
      </c>
      <c r="B2371" s="1" t="s">
        <v>19</v>
      </c>
      <c r="D2371" s="1" t="s">
        <v>1894</v>
      </c>
      <c r="E2371" s="1" t="s">
        <v>1873</v>
      </c>
      <c r="F2371" s="3">
        <v>0</v>
      </c>
      <c r="G2371" s="8" t="s">
        <v>2773</v>
      </c>
      <c r="H2371" s="8" t="s">
        <v>5161</v>
      </c>
      <c r="I2371" s="3">
        <v>26</v>
      </c>
      <c r="J2371" s="3" t="s">
        <v>5934</v>
      </c>
      <c r="K2371" s="17" t="str">
        <f>HYPERLINK("http://ictvonline.org/taxonomyHistory.asp?taxnode_id=20172461","ICTVonline=20172461")</f>
        <v>ICTVonline=20172461</v>
      </c>
      <c r="L2371" s="3">
        <v>2370</v>
      </c>
    </row>
    <row r="2372" spans="1:12" x14ac:dyDescent="0.15">
      <c r="A2372" s="1" t="s">
        <v>908</v>
      </c>
      <c r="B2372" s="1" t="s">
        <v>19</v>
      </c>
      <c r="D2372" s="1" t="s">
        <v>1894</v>
      </c>
      <c r="E2372" s="1" t="s">
        <v>1875</v>
      </c>
      <c r="F2372" s="3">
        <v>1</v>
      </c>
      <c r="G2372" s="8" t="s">
        <v>2773</v>
      </c>
      <c r="H2372" s="8" t="s">
        <v>5161</v>
      </c>
      <c r="I2372" s="3">
        <v>26</v>
      </c>
      <c r="J2372" s="3" t="s">
        <v>5934</v>
      </c>
      <c r="K2372" s="17" t="str">
        <f>HYPERLINK("http://ictvonline.org/taxonomyHistory.asp?taxnode_id=20172462","ICTVonline=20172462")</f>
        <v>ICTVonline=20172462</v>
      </c>
      <c r="L2372" s="3">
        <v>2371</v>
      </c>
    </row>
    <row r="2373" spans="1:12" x14ac:dyDescent="0.15">
      <c r="A2373" s="1" t="s">
        <v>908</v>
      </c>
      <c r="B2373" s="1" t="s">
        <v>19</v>
      </c>
      <c r="D2373" s="1" t="s">
        <v>1894</v>
      </c>
      <c r="E2373" s="1" t="s">
        <v>1585</v>
      </c>
      <c r="F2373" s="3">
        <v>0</v>
      </c>
      <c r="G2373" s="8" t="s">
        <v>2773</v>
      </c>
      <c r="H2373" s="8" t="s">
        <v>5161</v>
      </c>
      <c r="I2373" s="3">
        <v>26</v>
      </c>
      <c r="J2373" s="3" t="s">
        <v>5934</v>
      </c>
      <c r="K2373" s="17" t="str">
        <f>HYPERLINK("http://ictvonline.org/taxonomyHistory.asp?taxnode_id=20172463","ICTVonline=20172463")</f>
        <v>ICTVonline=20172463</v>
      </c>
      <c r="L2373" s="3">
        <v>2372</v>
      </c>
    </row>
    <row r="2374" spans="1:12" x14ac:dyDescent="0.15">
      <c r="A2374" s="1" t="s">
        <v>908</v>
      </c>
      <c r="B2374" s="1" t="s">
        <v>19</v>
      </c>
      <c r="D2374" s="1" t="s">
        <v>1894</v>
      </c>
      <c r="E2374" s="1" t="s">
        <v>1877</v>
      </c>
      <c r="F2374" s="3">
        <v>0</v>
      </c>
      <c r="G2374" s="8" t="s">
        <v>2773</v>
      </c>
      <c r="H2374" s="8" t="s">
        <v>5161</v>
      </c>
      <c r="I2374" s="3">
        <v>26</v>
      </c>
      <c r="J2374" s="3" t="s">
        <v>5934</v>
      </c>
      <c r="K2374" s="17" t="str">
        <f>HYPERLINK("http://ictvonline.org/taxonomyHistory.asp?taxnode_id=20172464","ICTVonline=20172464")</f>
        <v>ICTVonline=20172464</v>
      </c>
      <c r="L2374" s="3">
        <v>2373</v>
      </c>
    </row>
    <row r="2375" spans="1:12" x14ac:dyDescent="0.15">
      <c r="A2375" s="1" t="s">
        <v>908</v>
      </c>
      <c r="B2375" s="1" t="s">
        <v>19</v>
      </c>
      <c r="D2375" s="1" t="s">
        <v>1894</v>
      </c>
      <c r="E2375" s="1" t="s">
        <v>1879</v>
      </c>
      <c r="F2375" s="3">
        <v>0</v>
      </c>
      <c r="G2375" s="8" t="s">
        <v>2773</v>
      </c>
      <c r="H2375" s="8" t="s">
        <v>5161</v>
      </c>
      <c r="I2375" s="3">
        <v>26</v>
      </c>
      <c r="J2375" s="3" t="s">
        <v>5934</v>
      </c>
      <c r="K2375" s="17" t="str">
        <f>HYPERLINK("http://ictvonline.org/taxonomyHistory.asp?taxnode_id=20172465","ICTVonline=20172465")</f>
        <v>ICTVonline=20172465</v>
      </c>
      <c r="L2375" s="3">
        <v>2374</v>
      </c>
    </row>
    <row r="2376" spans="1:12" x14ac:dyDescent="0.15">
      <c r="A2376" s="1" t="s">
        <v>908</v>
      </c>
      <c r="B2376" s="1" t="s">
        <v>19</v>
      </c>
      <c r="D2376" s="1" t="s">
        <v>845</v>
      </c>
      <c r="E2376" s="1" t="s">
        <v>846</v>
      </c>
      <c r="F2376" s="3">
        <v>0</v>
      </c>
      <c r="G2376" s="8" t="s">
        <v>2773</v>
      </c>
      <c r="H2376" s="8" t="s">
        <v>5161</v>
      </c>
      <c r="I2376" s="3">
        <v>26</v>
      </c>
      <c r="J2376" s="3" t="s">
        <v>5934</v>
      </c>
      <c r="K2376" s="17" t="str">
        <f>HYPERLINK("http://ictvonline.org/taxonomyHistory.asp?taxnode_id=20172467","ICTVonline=20172467")</f>
        <v>ICTVonline=20172467</v>
      </c>
      <c r="L2376" s="3">
        <v>2375</v>
      </c>
    </row>
    <row r="2377" spans="1:12" x14ac:dyDescent="0.15">
      <c r="A2377" s="1" t="s">
        <v>908</v>
      </c>
      <c r="B2377" s="1" t="s">
        <v>19</v>
      </c>
      <c r="D2377" s="1" t="s">
        <v>845</v>
      </c>
      <c r="E2377" s="1" t="s">
        <v>847</v>
      </c>
      <c r="F2377" s="3">
        <v>0</v>
      </c>
      <c r="G2377" s="8" t="s">
        <v>2773</v>
      </c>
      <c r="H2377" s="8" t="s">
        <v>5161</v>
      </c>
      <c r="I2377" s="3">
        <v>26</v>
      </c>
      <c r="J2377" s="3" t="s">
        <v>5934</v>
      </c>
      <c r="K2377" s="17" t="str">
        <f>HYPERLINK("http://ictvonline.org/taxonomyHistory.asp?taxnode_id=20172468","ICTVonline=20172468")</f>
        <v>ICTVonline=20172468</v>
      </c>
      <c r="L2377" s="3">
        <v>2376</v>
      </c>
    </row>
    <row r="2378" spans="1:12" x14ac:dyDescent="0.15">
      <c r="A2378" s="1" t="s">
        <v>908</v>
      </c>
      <c r="B2378" s="1" t="s">
        <v>19</v>
      </c>
      <c r="D2378" s="1" t="s">
        <v>845</v>
      </c>
      <c r="E2378" s="1" t="s">
        <v>848</v>
      </c>
      <c r="F2378" s="3">
        <v>1</v>
      </c>
      <c r="G2378" s="8" t="s">
        <v>2773</v>
      </c>
      <c r="H2378" s="8" t="s">
        <v>5161</v>
      </c>
      <c r="I2378" s="3">
        <v>26</v>
      </c>
      <c r="J2378" s="3" t="s">
        <v>5934</v>
      </c>
      <c r="K2378" s="17" t="str">
        <f>HYPERLINK("http://ictvonline.org/taxonomyHistory.asp?taxnode_id=20172469","ICTVonline=20172469")</f>
        <v>ICTVonline=20172469</v>
      </c>
      <c r="L2378" s="3">
        <v>2377</v>
      </c>
    </row>
    <row r="2379" spans="1:12" x14ac:dyDescent="0.15">
      <c r="A2379" s="1" t="s">
        <v>908</v>
      </c>
      <c r="B2379" s="1" t="s">
        <v>20</v>
      </c>
      <c r="D2379" s="1" t="s">
        <v>21</v>
      </c>
      <c r="E2379" s="1" t="s">
        <v>22</v>
      </c>
      <c r="F2379" s="3">
        <v>1</v>
      </c>
      <c r="G2379" s="8" t="s">
        <v>2773</v>
      </c>
      <c r="H2379" s="8" t="s">
        <v>5164</v>
      </c>
      <c r="I2379" s="3">
        <v>26</v>
      </c>
      <c r="J2379" s="3" t="s">
        <v>5935</v>
      </c>
      <c r="K2379" s="17" t="str">
        <f>HYPERLINK("http://ictvonline.org/taxonomyHistory.asp?taxnode_id=20172473","ICTVonline=20172473")</f>
        <v>ICTVonline=20172473</v>
      </c>
      <c r="L2379" s="3">
        <v>2378</v>
      </c>
    </row>
    <row r="2380" spans="1:12" x14ac:dyDescent="0.15">
      <c r="A2380" s="1" t="s">
        <v>908</v>
      </c>
      <c r="B2380" s="1" t="s">
        <v>2392</v>
      </c>
      <c r="D2380" s="1" t="s">
        <v>2393</v>
      </c>
      <c r="E2380" s="1" t="s">
        <v>2394</v>
      </c>
      <c r="F2380" s="3">
        <v>0</v>
      </c>
      <c r="G2380" s="8" t="s">
        <v>2776</v>
      </c>
      <c r="H2380" s="8" t="s">
        <v>5159</v>
      </c>
      <c r="I2380" s="3">
        <v>28</v>
      </c>
      <c r="J2380" s="3" t="s">
        <v>5936</v>
      </c>
      <c r="K2380" s="17" t="str">
        <f>HYPERLINK("http://ictvonline.org/taxonomyHistory.asp?taxnode_id=20172477","ICTVonline=20172477")</f>
        <v>ICTVonline=20172477</v>
      </c>
      <c r="L2380" s="3">
        <v>2379</v>
      </c>
    </row>
    <row r="2381" spans="1:12" x14ac:dyDescent="0.15">
      <c r="A2381" s="1" t="s">
        <v>908</v>
      </c>
      <c r="B2381" s="1" t="s">
        <v>2392</v>
      </c>
      <c r="D2381" s="1" t="s">
        <v>2393</v>
      </c>
      <c r="E2381" s="1" t="s">
        <v>2395</v>
      </c>
      <c r="F2381" s="3">
        <v>0</v>
      </c>
      <c r="G2381" s="8" t="s">
        <v>2776</v>
      </c>
      <c r="H2381" s="8" t="s">
        <v>5159</v>
      </c>
      <c r="I2381" s="3">
        <v>28</v>
      </c>
      <c r="J2381" s="3" t="s">
        <v>5936</v>
      </c>
      <c r="K2381" s="17" t="str">
        <f>HYPERLINK("http://ictvonline.org/taxonomyHistory.asp?taxnode_id=20172478","ICTVonline=20172478")</f>
        <v>ICTVonline=20172478</v>
      </c>
      <c r="L2381" s="3">
        <v>2380</v>
      </c>
    </row>
    <row r="2382" spans="1:12" x14ac:dyDescent="0.15">
      <c r="A2382" s="1" t="s">
        <v>908</v>
      </c>
      <c r="B2382" s="1" t="s">
        <v>2392</v>
      </c>
      <c r="D2382" s="1" t="s">
        <v>2393</v>
      </c>
      <c r="E2382" s="1" t="s">
        <v>2396</v>
      </c>
      <c r="F2382" s="3">
        <v>1</v>
      </c>
      <c r="G2382" s="8" t="s">
        <v>2776</v>
      </c>
      <c r="H2382" s="8" t="s">
        <v>5159</v>
      </c>
      <c r="I2382" s="3">
        <v>28</v>
      </c>
      <c r="J2382" s="3" t="s">
        <v>5936</v>
      </c>
      <c r="K2382" s="17" t="str">
        <f>HYPERLINK("http://ictvonline.org/taxonomyHistory.asp?taxnode_id=20172479","ICTVonline=20172479")</f>
        <v>ICTVonline=20172479</v>
      </c>
      <c r="L2382" s="3">
        <v>2381</v>
      </c>
    </row>
    <row r="2383" spans="1:12" x14ac:dyDescent="0.15">
      <c r="A2383" s="1" t="s">
        <v>908</v>
      </c>
      <c r="B2383" s="1" t="s">
        <v>2392</v>
      </c>
      <c r="D2383" s="1" t="s">
        <v>2393</v>
      </c>
      <c r="E2383" s="1" t="s">
        <v>2397</v>
      </c>
      <c r="F2383" s="3">
        <v>0</v>
      </c>
      <c r="G2383" s="8" t="s">
        <v>2776</v>
      </c>
      <c r="H2383" s="8" t="s">
        <v>5159</v>
      </c>
      <c r="I2383" s="3">
        <v>28</v>
      </c>
      <c r="J2383" s="3" t="s">
        <v>5936</v>
      </c>
      <c r="K2383" s="17" t="str">
        <f>HYPERLINK("http://ictvonline.org/taxonomyHistory.asp?taxnode_id=20172480","ICTVonline=20172480")</f>
        <v>ICTVonline=20172480</v>
      </c>
      <c r="L2383" s="3">
        <v>2382</v>
      </c>
    </row>
    <row r="2384" spans="1:12" x14ac:dyDescent="0.15">
      <c r="A2384" s="1" t="s">
        <v>908</v>
      </c>
      <c r="B2384" s="1" t="s">
        <v>1068</v>
      </c>
      <c r="D2384" s="1" t="s">
        <v>1069</v>
      </c>
      <c r="E2384" s="1" t="s">
        <v>1070</v>
      </c>
      <c r="F2384" s="3">
        <v>1</v>
      </c>
      <c r="G2384" s="8" t="s">
        <v>2771</v>
      </c>
      <c r="H2384" s="8" t="s">
        <v>5164</v>
      </c>
      <c r="I2384" s="3">
        <v>24</v>
      </c>
      <c r="J2384" s="3" t="s">
        <v>5937</v>
      </c>
      <c r="K2384" s="17" t="str">
        <f>HYPERLINK("http://ictvonline.org/taxonomyHistory.asp?taxnode_id=20172484","ICTVonline=20172484")</f>
        <v>ICTVonline=20172484</v>
      </c>
      <c r="L2384" s="3">
        <v>2383</v>
      </c>
    </row>
    <row r="2385" spans="1:12" x14ac:dyDescent="0.15">
      <c r="A2385" s="1" t="s">
        <v>908</v>
      </c>
      <c r="B2385" s="1" t="s">
        <v>310</v>
      </c>
      <c r="D2385" s="1" t="s">
        <v>311</v>
      </c>
      <c r="E2385" s="1" t="s">
        <v>1713</v>
      </c>
      <c r="F2385" s="3">
        <v>1</v>
      </c>
      <c r="G2385" s="8" t="s">
        <v>3814</v>
      </c>
      <c r="H2385" s="8" t="s">
        <v>5164</v>
      </c>
      <c r="I2385" s="3">
        <v>25</v>
      </c>
      <c r="J2385" s="3" t="s">
        <v>5938</v>
      </c>
      <c r="K2385" s="17" t="str">
        <f>HYPERLINK("http://ictvonline.org/taxonomyHistory.asp?taxnode_id=20172488","ICTVonline=20172488")</f>
        <v>ICTVonline=20172488</v>
      </c>
      <c r="L2385" s="3">
        <v>2384</v>
      </c>
    </row>
    <row r="2386" spans="1:12" x14ac:dyDescent="0.15">
      <c r="A2386" s="1" t="s">
        <v>908</v>
      </c>
      <c r="B2386" s="1" t="s">
        <v>310</v>
      </c>
      <c r="D2386" s="1" t="s">
        <v>311</v>
      </c>
      <c r="E2386" s="1" t="s">
        <v>1714</v>
      </c>
      <c r="F2386" s="3">
        <v>0</v>
      </c>
      <c r="G2386" s="8" t="s">
        <v>3814</v>
      </c>
      <c r="H2386" s="8" t="s">
        <v>5159</v>
      </c>
      <c r="I2386" s="3">
        <v>25</v>
      </c>
      <c r="J2386" s="3" t="s">
        <v>5938</v>
      </c>
      <c r="K2386" s="17" t="str">
        <f>HYPERLINK("http://ictvonline.org/taxonomyHistory.asp?taxnode_id=20172489","ICTVonline=20172489")</f>
        <v>ICTVonline=20172489</v>
      </c>
      <c r="L2386" s="3">
        <v>2385</v>
      </c>
    </row>
    <row r="2387" spans="1:12" x14ac:dyDescent="0.15">
      <c r="A2387" s="1" t="s">
        <v>908</v>
      </c>
      <c r="B2387" s="1" t="s">
        <v>310</v>
      </c>
      <c r="D2387" s="1" t="s">
        <v>311</v>
      </c>
      <c r="E2387" s="1" t="s">
        <v>1715</v>
      </c>
      <c r="F2387" s="3">
        <v>0</v>
      </c>
      <c r="G2387" s="8" t="s">
        <v>3814</v>
      </c>
      <c r="H2387" s="8" t="s">
        <v>5159</v>
      </c>
      <c r="I2387" s="3">
        <v>25</v>
      </c>
      <c r="J2387" s="3" t="s">
        <v>5938</v>
      </c>
      <c r="K2387" s="17" t="str">
        <f>HYPERLINK("http://ictvonline.org/taxonomyHistory.asp?taxnode_id=20172490","ICTVonline=20172490")</f>
        <v>ICTVonline=20172490</v>
      </c>
      <c r="L2387" s="3">
        <v>2386</v>
      </c>
    </row>
    <row r="2388" spans="1:12" x14ac:dyDescent="0.15">
      <c r="A2388" s="1" t="s">
        <v>908</v>
      </c>
      <c r="B2388" s="1" t="s">
        <v>310</v>
      </c>
      <c r="D2388" s="1" t="s">
        <v>311</v>
      </c>
      <c r="E2388" s="1" t="s">
        <v>315</v>
      </c>
      <c r="F2388" s="3">
        <v>0</v>
      </c>
      <c r="G2388" s="8" t="s">
        <v>3814</v>
      </c>
      <c r="H2388" s="8" t="s">
        <v>5159</v>
      </c>
      <c r="I2388" s="3">
        <v>25</v>
      </c>
      <c r="J2388" s="3" t="s">
        <v>5938</v>
      </c>
      <c r="K2388" s="17" t="str">
        <f>HYPERLINK("http://ictvonline.org/taxonomyHistory.asp?taxnode_id=20172491","ICTVonline=20172491")</f>
        <v>ICTVonline=20172491</v>
      </c>
      <c r="L2388" s="3">
        <v>2387</v>
      </c>
    </row>
    <row r="2389" spans="1:12" x14ac:dyDescent="0.15">
      <c r="A2389" s="1" t="s">
        <v>908</v>
      </c>
      <c r="B2389" s="1" t="s">
        <v>310</v>
      </c>
      <c r="D2389" s="1" t="s">
        <v>311</v>
      </c>
      <c r="E2389" s="1" t="s">
        <v>316</v>
      </c>
      <c r="F2389" s="3">
        <v>0</v>
      </c>
      <c r="G2389" s="8" t="s">
        <v>3814</v>
      </c>
      <c r="H2389" s="8" t="s">
        <v>5159</v>
      </c>
      <c r="I2389" s="3">
        <v>25</v>
      </c>
      <c r="J2389" s="3" t="s">
        <v>5938</v>
      </c>
      <c r="K2389" s="17" t="str">
        <f>HYPERLINK("http://ictvonline.org/taxonomyHistory.asp?taxnode_id=20172492","ICTVonline=20172492")</f>
        <v>ICTVonline=20172492</v>
      </c>
      <c r="L2389" s="3">
        <v>2388</v>
      </c>
    </row>
    <row r="2390" spans="1:12" x14ac:dyDescent="0.15">
      <c r="A2390" s="1" t="s">
        <v>908</v>
      </c>
      <c r="B2390" s="1" t="s">
        <v>310</v>
      </c>
      <c r="D2390" s="1" t="s">
        <v>311</v>
      </c>
      <c r="E2390" s="1" t="s">
        <v>317</v>
      </c>
      <c r="F2390" s="3">
        <v>0</v>
      </c>
      <c r="G2390" s="8" t="s">
        <v>3814</v>
      </c>
      <c r="H2390" s="8" t="s">
        <v>5159</v>
      </c>
      <c r="I2390" s="3">
        <v>25</v>
      </c>
      <c r="J2390" s="3" t="s">
        <v>5938</v>
      </c>
      <c r="K2390" s="17" t="str">
        <f>HYPERLINK("http://ictvonline.org/taxonomyHistory.asp?taxnode_id=20172493","ICTVonline=20172493")</f>
        <v>ICTVonline=20172493</v>
      </c>
      <c r="L2390" s="3">
        <v>2389</v>
      </c>
    </row>
    <row r="2391" spans="1:12" x14ac:dyDescent="0.15">
      <c r="A2391" s="1" t="s">
        <v>908</v>
      </c>
      <c r="B2391" s="1" t="s">
        <v>310</v>
      </c>
      <c r="D2391" s="1" t="s">
        <v>311</v>
      </c>
      <c r="E2391" s="1" t="s">
        <v>318</v>
      </c>
      <c r="F2391" s="3">
        <v>0</v>
      </c>
      <c r="G2391" s="8" t="s">
        <v>3814</v>
      </c>
      <c r="H2391" s="8" t="s">
        <v>5159</v>
      </c>
      <c r="I2391" s="3">
        <v>25</v>
      </c>
      <c r="J2391" s="3" t="s">
        <v>5938</v>
      </c>
      <c r="K2391" s="17" t="str">
        <f>HYPERLINK("http://ictvonline.org/taxonomyHistory.asp?taxnode_id=20172494","ICTVonline=20172494")</f>
        <v>ICTVonline=20172494</v>
      </c>
      <c r="L2391" s="3">
        <v>2390</v>
      </c>
    </row>
    <row r="2392" spans="1:12" x14ac:dyDescent="0.15">
      <c r="A2392" s="1" t="s">
        <v>908</v>
      </c>
      <c r="B2392" s="1" t="s">
        <v>310</v>
      </c>
      <c r="D2392" s="1" t="s">
        <v>311</v>
      </c>
      <c r="E2392" s="1" t="s">
        <v>319</v>
      </c>
      <c r="F2392" s="3">
        <v>0</v>
      </c>
      <c r="G2392" s="8" t="s">
        <v>3814</v>
      </c>
      <c r="H2392" s="8" t="s">
        <v>5159</v>
      </c>
      <c r="I2392" s="3">
        <v>25</v>
      </c>
      <c r="J2392" s="3" t="s">
        <v>5938</v>
      </c>
      <c r="K2392" s="17" t="str">
        <f>HYPERLINK("http://ictvonline.org/taxonomyHistory.asp?taxnode_id=20172495","ICTVonline=20172495")</f>
        <v>ICTVonline=20172495</v>
      </c>
      <c r="L2392" s="3">
        <v>2391</v>
      </c>
    </row>
    <row r="2393" spans="1:12" x14ac:dyDescent="0.15">
      <c r="A2393" s="1" t="s">
        <v>908</v>
      </c>
      <c r="B2393" s="1" t="s">
        <v>310</v>
      </c>
      <c r="D2393" s="1" t="s">
        <v>311</v>
      </c>
      <c r="E2393" s="1" t="s">
        <v>320</v>
      </c>
      <c r="F2393" s="3">
        <v>0</v>
      </c>
      <c r="G2393" s="8" t="s">
        <v>3814</v>
      </c>
      <c r="H2393" s="8" t="s">
        <v>5159</v>
      </c>
      <c r="I2393" s="3">
        <v>25</v>
      </c>
      <c r="J2393" s="3" t="s">
        <v>5938</v>
      </c>
      <c r="K2393" s="17" t="str">
        <f>HYPERLINK("http://ictvonline.org/taxonomyHistory.asp?taxnode_id=20172496","ICTVonline=20172496")</f>
        <v>ICTVonline=20172496</v>
      </c>
      <c r="L2393" s="3">
        <v>2392</v>
      </c>
    </row>
    <row r="2394" spans="1:12" x14ac:dyDescent="0.15">
      <c r="A2394" s="1" t="s">
        <v>908</v>
      </c>
      <c r="B2394" s="1" t="s">
        <v>310</v>
      </c>
      <c r="D2394" s="1" t="s">
        <v>311</v>
      </c>
      <c r="E2394" s="1" t="s">
        <v>321</v>
      </c>
      <c r="F2394" s="3">
        <v>0</v>
      </c>
      <c r="G2394" s="8" t="s">
        <v>3814</v>
      </c>
      <c r="H2394" s="8" t="s">
        <v>5159</v>
      </c>
      <c r="I2394" s="3">
        <v>25</v>
      </c>
      <c r="J2394" s="3" t="s">
        <v>5938</v>
      </c>
      <c r="K2394" s="17" t="str">
        <f>HYPERLINK("http://ictvonline.org/taxonomyHistory.asp?taxnode_id=20172497","ICTVonline=20172497")</f>
        <v>ICTVonline=20172497</v>
      </c>
      <c r="L2394" s="3">
        <v>2393</v>
      </c>
    </row>
    <row r="2395" spans="1:12" x14ac:dyDescent="0.15">
      <c r="A2395" s="1" t="s">
        <v>908</v>
      </c>
      <c r="B2395" s="1" t="s">
        <v>310</v>
      </c>
      <c r="D2395" s="1" t="s">
        <v>311</v>
      </c>
      <c r="E2395" s="1" t="s">
        <v>322</v>
      </c>
      <c r="F2395" s="3">
        <v>0</v>
      </c>
      <c r="G2395" s="8" t="s">
        <v>3814</v>
      </c>
      <c r="H2395" s="8" t="s">
        <v>5159</v>
      </c>
      <c r="I2395" s="3">
        <v>25</v>
      </c>
      <c r="J2395" s="3" t="s">
        <v>5938</v>
      </c>
      <c r="K2395" s="17" t="str">
        <f>HYPERLINK("http://ictvonline.org/taxonomyHistory.asp?taxnode_id=20172498","ICTVonline=20172498")</f>
        <v>ICTVonline=20172498</v>
      </c>
      <c r="L2395" s="3">
        <v>2394</v>
      </c>
    </row>
    <row r="2396" spans="1:12" x14ac:dyDescent="0.15">
      <c r="A2396" s="1" t="s">
        <v>908</v>
      </c>
      <c r="B2396" s="1" t="s">
        <v>310</v>
      </c>
      <c r="D2396" s="1" t="s">
        <v>311</v>
      </c>
      <c r="E2396" s="1" t="s">
        <v>323</v>
      </c>
      <c r="F2396" s="3">
        <v>0</v>
      </c>
      <c r="G2396" s="8" t="s">
        <v>3814</v>
      </c>
      <c r="H2396" s="8" t="s">
        <v>5159</v>
      </c>
      <c r="I2396" s="3">
        <v>25</v>
      </c>
      <c r="J2396" s="3" t="s">
        <v>5938</v>
      </c>
      <c r="K2396" s="17" t="str">
        <f>HYPERLINK("http://ictvonline.org/taxonomyHistory.asp?taxnode_id=20172499","ICTVonline=20172499")</f>
        <v>ICTVonline=20172499</v>
      </c>
      <c r="L2396" s="3">
        <v>2395</v>
      </c>
    </row>
    <row r="2397" spans="1:12" x14ac:dyDescent="0.15">
      <c r="A2397" s="1" t="s">
        <v>908</v>
      </c>
      <c r="B2397" s="1" t="s">
        <v>310</v>
      </c>
      <c r="D2397" s="1" t="s">
        <v>311</v>
      </c>
      <c r="E2397" s="1" t="s">
        <v>324</v>
      </c>
      <c r="F2397" s="3">
        <v>0</v>
      </c>
      <c r="G2397" s="8" t="s">
        <v>3814</v>
      </c>
      <c r="H2397" s="8" t="s">
        <v>5159</v>
      </c>
      <c r="I2397" s="3">
        <v>25</v>
      </c>
      <c r="J2397" s="3" t="s">
        <v>5938</v>
      </c>
      <c r="K2397" s="17" t="str">
        <f>HYPERLINK("http://ictvonline.org/taxonomyHistory.asp?taxnode_id=20172500","ICTVonline=20172500")</f>
        <v>ICTVonline=20172500</v>
      </c>
      <c r="L2397" s="3">
        <v>2396</v>
      </c>
    </row>
    <row r="2398" spans="1:12" x14ac:dyDescent="0.15">
      <c r="A2398" s="1" t="s">
        <v>908</v>
      </c>
      <c r="B2398" s="1" t="s">
        <v>310</v>
      </c>
      <c r="D2398" s="1" t="s">
        <v>311</v>
      </c>
      <c r="E2398" s="1" t="s">
        <v>325</v>
      </c>
      <c r="F2398" s="3">
        <v>0</v>
      </c>
      <c r="G2398" s="8" t="s">
        <v>3814</v>
      </c>
      <c r="H2398" s="8" t="s">
        <v>5159</v>
      </c>
      <c r="I2398" s="3">
        <v>25</v>
      </c>
      <c r="J2398" s="3" t="s">
        <v>5938</v>
      </c>
      <c r="K2398" s="17" t="str">
        <f>HYPERLINK("http://ictvonline.org/taxonomyHistory.asp?taxnode_id=20172501","ICTVonline=20172501")</f>
        <v>ICTVonline=20172501</v>
      </c>
      <c r="L2398" s="3">
        <v>2397</v>
      </c>
    </row>
    <row r="2399" spans="1:12" x14ac:dyDescent="0.15">
      <c r="A2399" s="1" t="s">
        <v>908</v>
      </c>
      <c r="B2399" s="1" t="s">
        <v>310</v>
      </c>
      <c r="D2399" s="1" t="s">
        <v>311</v>
      </c>
      <c r="E2399" s="1" t="s">
        <v>326</v>
      </c>
      <c r="F2399" s="3">
        <v>0</v>
      </c>
      <c r="G2399" s="8" t="s">
        <v>3814</v>
      </c>
      <c r="H2399" s="8" t="s">
        <v>5159</v>
      </c>
      <c r="I2399" s="3">
        <v>25</v>
      </c>
      <c r="J2399" s="3" t="s">
        <v>5938</v>
      </c>
      <c r="K2399" s="17" t="str">
        <f>HYPERLINK("http://ictvonline.org/taxonomyHistory.asp?taxnode_id=20172502","ICTVonline=20172502")</f>
        <v>ICTVonline=20172502</v>
      </c>
      <c r="L2399" s="3">
        <v>2398</v>
      </c>
    </row>
    <row r="2400" spans="1:12" x14ac:dyDescent="0.15">
      <c r="A2400" s="1" t="s">
        <v>908</v>
      </c>
      <c r="B2400" s="1" t="s">
        <v>310</v>
      </c>
      <c r="D2400" s="1" t="s">
        <v>311</v>
      </c>
      <c r="E2400" s="1" t="s">
        <v>327</v>
      </c>
      <c r="F2400" s="3">
        <v>0</v>
      </c>
      <c r="G2400" s="8" t="s">
        <v>3814</v>
      </c>
      <c r="H2400" s="8" t="s">
        <v>5159</v>
      </c>
      <c r="I2400" s="3">
        <v>25</v>
      </c>
      <c r="J2400" s="3" t="s">
        <v>5938</v>
      </c>
      <c r="K2400" s="17" t="str">
        <f>HYPERLINK("http://ictvonline.org/taxonomyHistory.asp?taxnode_id=20172503","ICTVonline=20172503")</f>
        <v>ICTVonline=20172503</v>
      </c>
      <c r="L2400" s="3">
        <v>2399</v>
      </c>
    </row>
    <row r="2401" spans="1:12" x14ac:dyDescent="0.15">
      <c r="A2401" s="1" t="s">
        <v>908</v>
      </c>
      <c r="B2401" s="1" t="s">
        <v>310</v>
      </c>
      <c r="D2401" s="1" t="s">
        <v>311</v>
      </c>
      <c r="E2401" s="1" t="s">
        <v>328</v>
      </c>
      <c r="F2401" s="3">
        <v>0</v>
      </c>
      <c r="G2401" s="8" t="s">
        <v>3814</v>
      </c>
      <c r="H2401" s="8" t="s">
        <v>5159</v>
      </c>
      <c r="I2401" s="3">
        <v>25</v>
      </c>
      <c r="J2401" s="3" t="s">
        <v>5938</v>
      </c>
      <c r="K2401" s="17" t="str">
        <f>HYPERLINK("http://ictvonline.org/taxonomyHistory.asp?taxnode_id=20172504","ICTVonline=20172504")</f>
        <v>ICTVonline=20172504</v>
      </c>
      <c r="L2401" s="3">
        <v>2400</v>
      </c>
    </row>
    <row r="2402" spans="1:12" x14ac:dyDescent="0.15">
      <c r="A2402" s="1" t="s">
        <v>908</v>
      </c>
      <c r="B2402" s="1" t="s">
        <v>310</v>
      </c>
      <c r="D2402" s="1" t="s">
        <v>311</v>
      </c>
      <c r="E2402" s="1" t="s">
        <v>329</v>
      </c>
      <c r="F2402" s="3">
        <v>0</v>
      </c>
      <c r="G2402" s="8" t="s">
        <v>3814</v>
      </c>
      <c r="H2402" s="8" t="s">
        <v>5159</v>
      </c>
      <c r="I2402" s="3">
        <v>25</v>
      </c>
      <c r="J2402" s="3" t="s">
        <v>5938</v>
      </c>
      <c r="K2402" s="17" t="str">
        <f>HYPERLINK("http://ictvonline.org/taxonomyHistory.asp?taxnode_id=20172505","ICTVonline=20172505")</f>
        <v>ICTVonline=20172505</v>
      </c>
      <c r="L2402" s="3">
        <v>2401</v>
      </c>
    </row>
    <row r="2403" spans="1:12" x14ac:dyDescent="0.15">
      <c r="A2403" s="1" t="s">
        <v>908</v>
      </c>
      <c r="B2403" s="1" t="s">
        <v>310</v>
      </c>
      <c r="D2403" s="1" t="s">
        <v>311</v>
      </c>
      <c r="E2403" s="1" t="s">
        <v>330</v>
      </c>
      <c r="F2403" s="3">
        <v>0</v>
      </c>
      <c r="G2403" s="8" t="s">
        <v>3814</v>
      </c>
      <c r="H2403" s="8" t="s">
        <v>5159</v>
      </c>
      <c r="I2403" s="3">
        <v>25</v>
      </c>
      <c r="J2403" s="3" t="s">
        <v>5938</v>
      </c>
      <c r="K2403" s="17" t="str">
        <f>HYPERLINK("http://ictvonline.org/taxonomyHistory.asp?taxnode_id=20172506","ICTVonline=20172506")</f>
        <v>ICTVonline=20172506</v>
      </c>
      <c r="L2403" s="3">
        <v>2402</v>
      </c>
    </row>
    <row r="2404" spans="1:12" x14ac:dyDescent="0.15">
      <c r="A2404" s="1" t="s">
        <v>908</v>
      </c>
      <c r="B2404" s="1" t="s">
        <v>310</v>
      </c>
      <c r="D2404" s="1" t="s">
        <v>311</v>
      </c>
      <c r="E2404" s="1" t="s">
        <v>331</v>
      </c>
      <c r="F2404" s="3">
        <v>0</v>
      </c>
      <c r="G2404" s="8" t="s">
        <v>3814</v>
      </c>
      <c r="H2404" s="8" t="s">
        <v>5159</v>
      </c>
      <c r="I2404" s="3">
        <v>25</v>
      </c>
      <c r="J2404" s="3" t="s">
        <v>5938</v>
      </c>
      <c r="K2404" s="17" t="str">
        <f>HYPERLINK("http://ictvonline.org/taxonomyHistory.asp?taxnode_id=20172507","ICTVonline=20172507")</f>
        <v>ICTVonline=20172507</v>
      </c>
      <c r="L2404" s="3">
        <v>2403</v>
      </c>
    </row>
    <row r="2405" spans="1:12" x14ac:dyDescent="0.15">
      <c r="A2405" s="1" t="s">
        <v>908</v>
      </c>
      <c r="B2405" s="1" t="s">
        <v>310</v>
      </c>
      <c r="D2405" s="1" t="s">
        <v>311</v>
      </c>
      <c r="E2405" s="1" t="s">
        <v>332</v>
      </c>
      <c r="F2405" s="3">
        <v>0</v>
      </c>
      <c r="G2405" s="8" t="s">
        <v>3814</v>
      </c>
      <c r="H2405" s="8" t="s">
        <v>5159</v>
      </c>
      <c r="I2405" s="3">
        <v>25</v>
      </c>
      <c r="J2405" s="3" t="s">
        <v>5938</v>
      </c>
      <c r="K2405" s="17" t="str">
        <f>HYPERLINK("http://ictvonline.org/taxonomyHistory.asp?taxnode_id=20172508","ICTVonline=20172508")</f>
        <v>ICTVonline=20172508</v>
      </c>
      <c r="L2405" s="3">
        <v>2404</v>
      </c>
    </row>
    <row r="2406" spans="1:12" x14ac:dyDescent="0.15">
      <c r="A2406" s="1" t="s">
        <v>908</v>
      </c>
      <c r="B2406" s="1" t="s">
        <v>310</v>
      </c>
      <c r="D2406" s="1" t="s">
        <v>311</v>
      </c>
      <c r="E2406" s="1" t="s">
        <v>333</v>
      </c>
      <c r="F2406" s="3">
        <v>0</v>
      </c>
      <c r="G2406" s="8" t="s">
        <v>3814</v>
      </c>
      <c r="H2406" s="8" t="s">
        <v>5159</v>
      </c>
      <c r="I2406" s="3">
        <v>25</v>
      </c>
      <c r="J2406" s="3" t="s">
        <v>5938</v>
      </c>
      <c r="K2406" s="17" t="str">
        <f>HYPERLINK("http://ictvonline.org/taxonomyHistory.asp?taxnode_id=20172509","ICTVonline=20172509")</f>
        <v>ICTVonline=20172509</v>
      </c>
      <c r="L2406" s="3">
        <v>2405</v>
      </c>
    </row>
    <row r="2407" spans="1:12" x14ac:dyDescent="0.15">
      <c r="A2407" s="1" t="s">
        <v>908</v>
      </c>
      <c r="B2407" s="1" t="s">
        <v>310</v>
      </c>
      <c r="D2407" s="1" t="s">
        <v>311</v>
      </c>
      <c r="E2407" s="1" t="s">
        <v>334</v>
      </c>
      <c r="F2407" s="3">
        <v>0</v>
      </c>
      <c r="G2407" s="8" t="s">
        <v>3814</v>
      </c>
      <c r="H2407" s="8" t="s">
        <v>5159</v>
      </c>
      <c r="I2407" s="3">
        <v>25</v>
      </c>
      <c r="J2407" s="3" t="s">
        <v>5938</v>
      </c>
      <c r="K2407" s="17" t="str">
        <f>HYPERLINK("http://ictvonline.org/taxonomyHistory.asp?taxnode_id=20172510","ICTVonline=20172510")</f>
        <v>ICTVonline=20172510</v>
      </c>
      <c r="L2407" s="3">
        <v>2406</v>
      </c>
    </row>
    <row r="2408" spans="1:12" x14ac:dyDescent="0.15">
      <c r="A2408" s="1" t="s">
        <v>908</v>
      </c>
      <c r="B2408" s="1" t="s">
        <v>310</v>
      </c>
      <c r="D2408" s="1" t="s">
        <v>311</v>
      </c>
      <c r="E2408" s="1" t="s">
        <v>335</v>
      </c>
      <c r="F2408" s="3">
        <v>0</v>
      </c>
      <c r="G2408" s="8" t="s">
        <v>3814</v>
      </c>
      <c r="H2408" s="8" t="s">
        <v>5159</v>
      </c>
      <c r="I2408" s="3">
        <v>25</v>
      </c>
      <c r="J2408" s="3" t="s">
        <v>5938</v>
      </c>
      <c r="K2408" s="17" t="str">
        <f>HYPERLINK("http://ictvonline.org/taxonomyHistory.asp?taxnode_id=20172511","ICTVonline=20172511")</f>
        <v>ICTVonline=20172511</v>
      </c>
      <c r="L2408" s="3">
        <v>2407</v>
      </c>
    </row>
    <row r="2409" spans="1:12" x14ac:dyDescent="0.15">
      <c r="A2409" s="1" t="s">
        <v>908</v>
      </c>
      <c r="B2409" s="1" t="s">
        <v>310</v>
      </c>
      <c r="D2409" s="1" t="s">
        <v>311</v>
      </c>
      <c r="E2409" s="1" t="s">
        <v>450</v>
      </c>
      <c r="F2409" s="3">
        <v>0</v>
      </c>
      <c r="G2409" s="8" t="s">
        <v>3814</v>
      </c>
      <c r="H2409" s="8" t="s">
        <v>5159</v>
      </c>
      <c r="I2409" s="3">
        <v>25</v>
      </c>
      <c r="J2409" s="3" t="s">
        <v>5938</v>
      </c>
      <c r="K2409" s="17" t="str">
        <f>HYPERLINK("http://ictvonline.org/taxonomyHistory.asp?taxnode_id=20172512","ICTVonline=20172512")</f>
        <v>ICTVonline=20172512</v>
      </c>
      <c r="L2409" s="3">
        <v>2408</v>
      </c>
    </row>
    <row r="2410" spans="1:12" x14ac:dyDescent="0.15">
      <c r="A2410" s="1" t="s">
        <v>908</v>
      </c>
      <c r="B2410" s="1" t="s">
        <v>310</v>
      </c>
      <c r="D2410" s="1" t="s">
        <v>311</v>
      </c>
      <c r="E2410" s="1" t="s">
        <v>451</v>
      </c>
      <c r="F2410" s="3">
        <v>0</v>
      </c>
      <c r="G2410" s="8" t="s">
        <v>3814</v>
      </c>
      <c r="H2410" s="8" t="s">
        <v>5159</v>
      </c>
      <c r="I2410" s="3">
        <v>25</v>
      </c>
      <c r="J2410" s="3" t="s">
        <v>5938</v>
      </c>
      <c r="K2410" s="17" t="str">
        <f>HYPERLINK("http://ictvonline.org/taxonomyHistory.asp?taxnode_id=20172513","ICTVonline=20172513")</f>
        <v>ICTVonline=20172513</v>
      </c>
      <c r="L2410" s="3">
        <v>2409</v>
      </c>
    </row>
    <row r="2411" spans="1:12" x14ac:dyDescent="0.15">
      <c r="A2411" s="1" t="s">
        <v>908</v>
      </c>
      <c r="B2411" s="1" t="s">
        <v>310</v>
      </c>
      <c r="D2411" s="1" t="s">
        <v>311</v>
      </c>
      <c r="E2411" s="1" t="s">
        <v>452</v>
      </c>
      <c r="F2411" s="3">
        <v>0</v>
      </c>
      <c r="G2411" s="8" t="s">
        <v>3814</v>
      </c>
      <c r="H2411" s="8" t="s">
        <v>5159</v>
      </c>
      <c r="I2411" s="3">
        <v>25</v>
      </c>
      <c r="J2411" s="3" t="s">
        <v>5938</v>
      </c>
      <c r="K2411" s="17" t="str">
        <f>HYPERLINK("http://ictvonline.org/taxonomyHistory.asp?taxnode_id=20172514","ICTVonline=20172514")</f>
        <v>ICTVonline=20172514</v>
      </c>
      <c r="L2411" s="3">
        <v>2410</v>
      </c>
    </row>
    <row r="2412" spans="1:12" x14ac:dyDescent="0.15">
      <c r="A2412" s="1" t="s">
        <v>908</v>
      </c>
      <c r="B2412" s="1" t="s">
        <v>310</v>
      </c>
      <c r="D2412" s="1" t="s">
        <v>311</v>
      </c>
      <c r="E2412" s="1" t="s">
        <v>453</v>
      </c>
      <c r="F2412" s="3">
        <v>0</v>
      </c>
      <c r="G2412" s="8" t="s">
        <v>3814</v>
      </c>
      <c r="H2412" s="8" t="s">
        <v>5159</v>
      </c>
      <c r="I2412" s="3">
        <v>25</v>
      </c>
      <c r="J2412" s="3" t="s">
        <v>5938</v>
      </c>
      <c r="K2412" s="17" t="str">
        <f>HYPERLINK("http://ictvonline.org/taxonomyHistory.asp?taxnode_id=20172515","ICTVonline=20172515")</f>
        <v>ICTVonline=20172515</v>
      </c>
      <c r="L2412" s="3">
        <v>2411</v>
      </c>
    </row>
    <row r="2413" spans="1:12" x14ac:dyDescent="0.15">
      <c r="A2413" s="1" t="s">
        <v>908</v>
      </c>
      <c r="B2413" s="1" t="s">
        <v>310</v>
      </c>
      <c r="D2413" s="1" t="s">
        <v>311</v>
      </c>
      <c r="E2413" s="1" t="s">
        <v>1487</v>
      </c>
      <c r="F2413" s="3">
        <v>0</v>
      </c>
      <c r="G2413" s="8" t="s">
        <v>3814</v>
      </c>
      <c r="H2413" s="8" t="s">
        <v>5159</v>
      </c>
      <c r="I2413" s="3">
        <v>25</v>
      </c>
      <c r="J2413" s="3" t="s">
        <v>5938</v>
      </c>
      <c r="K2413" s="17" t="str">
        <f>HYPERLINK("http://ictvonline.org/taxonomyHistory.asp?taxnode_id=20172516","ICTVonline=20172516")</f>
        <v>ICTVonline=20172516</v>
      </c>
      <c r="L2413" s="3">
        <v>2412</v>
      </c>
    </row>
    <row r="2414" spans="1:12" x14ac:dyDescent="0.15">
      <c r="A2414" s="1" t="s">
        <v>908</v>
      </c>
      <c r="B2414" s="1" t="s">
        <v>310</v>
      </c>
      <c r="D2414" s="1" t="s">
        <v>312</v>
      </c>
      <c r="E2414" s="1" t="s">
        <v>1889</v>
      </c>
      <c r="F2414" s="3">
        <v>1</v>
      </c>
      <c r="G2414" s="8" t="s">
        <v>3814</v>
      </c>
      <c r="H2414" s="8" t="s">
        <v>5164</v>
      </c>
      <c r="I2414" s="3">
        <v>25</v>
      </c>
      <c r="J2414" s="3" t="s">
        <v>5938</v>
      </c>
      <c r="K2414" s="17" t="str">
        <f>HYPERLINK("http://ictvonline.org/taxonomyHistory.asp?taxnode_id=20172518","ICTVonline=20172518")</f>
        <v>ICTVonline=20172518</v>
      </c>
      <c r="L2414" s="3">
        <v>2413</v>
      </c>
    </row>
    <row r="2415" spans="1:12" x14ac:dyDescent="0.15">
      <c r="A2415" s="1" t="s">
        <v>908</v>
      </c>
      <c r="B2415" s="1" t="s">
        <v>310</v>
      </c>
      <c r="D2415" s="1" t="s">
        <v>312</v>
      </c>
      <c r="E2415" s="1" t="s">
        <v>1867</v>
      </c>
      <c r="F2415" s="3">
        <v>0</v>
      </c>
      <c r="G2415" s="8" t="s">
        <v>3814</v>
      </c>
      <c r="H2415" s="8" t="s">
        <v>5159</v>
      </c>
      <c r="I2415" s="3">
        <v>25</v>
      </c>
      <c r="J2415" s="3" t="s">
        <v>5938</v>
      </c>
      <c r="K2415" s="17" t="str">
        <f>HYPERLINK("http://ictvonline.org/taxonomyHistory.asp?taxnode_id=20172519","ICTVonline=20172519")</f>
        <v>ICTVonline=20172519</v>
      </c>
      <c r="L2415" s="3">
        <v>2414</v>
      </c>
    </row>
    <row r="2416" spans="1:12" x14ac:dyDescent="0.15">
      <c r="A2416" s="1" t="s">
        <v>908</v>
      </c>
      <c r="B2416" s="1" t="s">
        <v>310</v>
      </c>
      <c r="D2416" s="1" t="s">
        <v>312</v>
      </c>
      <c r="E2416" s="1" t="s">
        <v>1868</v>
      </c>
      <c r="F2416" s="3">
        <v>0</v>
      </c>
      <c r="G2416" s="8" t="s">
        <v>3814</v>
      </c>
      <c r="H2416" s="8" t="s">
        <v>5159</v>
      </c>
      <c r="I2416" s="3">
        <v>25</v>
      </c>
      <c r="J2416" s="3" t="s">
        <v>5938</v>
      </c>
      <c r="K2416" s="17" t="str">
        <f>HYPERLINK("http://ictvonline.org/taxonomyHistory.asp?taxnode_id=20172520","ICTVonline=20172520")</f>
        <v>ICTVonline=20172520</v>
      </c>
      <c r="L2416" s="3">
        <v>2415</v>
      </c>
    </row>
    <row r="2417" spans="1:12" x14ac:dyDescent="0.15">
      <c r="A2417" s="1" t="s">
        <v>908</v>
      </c>
      <c r="B2417" s="1" t="s">
        <v>310</v>
      </c>
      <c r="D2417" s="1" t="s">
        <v>312</v>
      </c>
      <c r="E2417" s="1" t="s">
        <v>1869</v>
      </c>
      <c r="F2417" s="3">
        <v>0</v>
      </c>
      <c r="G2417" s="8" t="s">
        <v>3814</v>
      </c>
      <c r="H2417" s="8" t="s">
        <v>5159</v>
      </c>
      <c r="I2417" s="3">
        <v>25</v>
      </c>
      <c r="J2417" s="3" t="s">
        <v>5938</v>
      </c>
      <c r="K2417" s="17" t="str">
        <f>HYPERLINK("http://ictvonline.org/taxonomyHistory.asp?taxnode_id=20172521","ICTVonline=20172521")</f>
        <v>ICTVonline=20172521</v>
      </c>
      <c r="L2417" s="3">
        <v>2416</v>
      </c>
    </row>
    <row r="2418" spans="1:12" x14ac:dyDescent="0.15">
      <c r="A2418" s="1" t="s">
        <v>908</v>
      </c>
      <c r="B2418" s="1" t="s">
        <v>310</v>
      </c>
      <c r="D2418" s="1" t="s">
        <v>312</v>
      </c>
      <c r="E2418" s="1" t="s">
        <v>1892</v>
      </c>
      <c r="F2418" s="3">
        <v>0</v>
      </c>
      <c r="G2418" s="8" t="s">
        <v>3814</v>
      </c>
      <c r="H2418" s="8" t="s">
        <v>5159</v>
      </c>
      <c r="I2418" s="3">
        <v>25</v>
      </c>
      <c r="J2418" s="3" t="s">
        <v>5938</v>
      </c>
      <c r="K2418" s="17" t="str">
        <f>HYPERLINK("http://ictvonline.org/taxonomyHistory.asp?taxnode_id=20172522","ICTVonline=20172522")</f>
        <v>ICTVonline=20172522</v>
      </c>
      <c r="L2418" s="3">
        <v>2417</v>
      </c>
    </row>
    <row r="2419" spans="1:12" x14ac:dyDescent="0.15">
      <c r="A2419" s="1" t="s">
        <v>908</v>
      </c>
      <c r="B2419" s="1" t="s">
        <v>310</v>
      </c>
      <c r="D2419" s="1" t="s">
        <v>312</v>
      </c>
      <c r="E2419" s="1" t="s">
        <v>1893</v>
      </c>
      <c r="F2419" s="3">
        <v>0</v>
      </c>
      <c r="G2419" s="8" t="s">
        <v>3814</v>
      </c>
      <c r="H2419" s="8" t="s">
        <v>5159</v>
      </c>
      <c r="I2419" s="3">
        <v>25</v>
      </c>
      <c r="J2419" s="3" t="s">
        <v>5938</v>
      </c>
      <c r="K2419" s="17" t="str">
        <f>HYPERLINK("http://ictvonline.org/taxonomyHistory.asp?taxnode_id=20172523","ICTVonline=20172523")</f>
        <v>ICTVonline=20172523</v>
      </c>
      <c r="L2419" s="3">
        <v>2418</v>
      </c>
    </row>
    <row r="2420" spans="1:12" x14ac:dyDescent="0.15">
      <c r="A2420" s="1" t="s">
        <v>908</v>
      </c>
      <c r="B2420" s="1" t="s">
        <v>310</v>
      </c>
      <c r="D2420" s="1" t="s">
        <v>312</v>
      </c>
      <c r="E2420" s="1" t="s">
        <v>1577</v>
      </c>
      <c r="F2420" s="3">
        <v>0</v>
      </c>
      <c r="G2420" s="8" t="s">
        <v>3814</v>
      </c>
      <c r="H2420" s="8" t="s">
        <v>5159</v>
      </c>
      <c r="I2420" s="3">
        <v>25</v>
      </c>
      <c r="J2420" s="3" t="s">
        <v>5938</v>
      </c>
      <c r="K2420" s="17" t="str">
        <f>HYPERLINK("http://ictvonline.org/taxonomyHistory.asp?taxnode_id=20172524","ICTVonline=20172524")</f>
        <v>ICTVonline=20172524</v>
      </c>
      <c r="L2420" s="3">
        <v>2419</v>
      </c>
    </row>
    <row r="2421" spans="1:12" x14ac:dyDescent="0.15">
      <c r="A2421" s="1" t="s">
        <v>908</v>
      </c>
      <c r="B2421" s="1" t="s">
        <v>310</v>
      </c>
      <c r="D2421" s="1" t="s">
        <v>312</v>
      </c>
      <c r="E2421" s="1" t="s">
        <v>1578</v>
      </c>
      <c r="F2421" s="3">
        <v>0</v>
      </c>
      <c r="G2421" s="8" t="s">
        <v>3814</v>
      </c>
      <c r="H2421" s="8" t="s">
        <v>5159</v>
      </c>
      <c r="I2421" s="3">
        <v>25</v>
      </c>
      <c r="J2421" s="3" t="s">
        <v>5938</v>
      </c>
      <c r="K2421" s="17" t="str">
        <f>HYPERLINK("http://ictvonline.org/taxonomyHistory.asp?taxnode_id=20172525","ICTVonline=20172525")</f>
        <v>ICTVonline=20172525</v>
      </c>
      <c r="L2421" s="3">
        <v>2420</v>
      </c>
    </row>
    <row r="2422" spans="1:12" x14ac:dyDescent="0.15">
      <c r="A2422" s="1" t="s">
        <v>908</v>
      </c>
      <c r="B2422" s="1" t="s">
        <v>310</v>
      </c>
      <c r="D2422" s="1" t="s">
        <v>312</v>
      </c>
      <c r="E2422" s="1" t="s">
        <v>1579</v>
      </c>
      <c r="F2422" s="3">
        <v>0</v>
      </c>
      <c r="G2422" s="8" t="s">
        <v>3814</v>
      </c>
      <c r="H2422" s="8" t="s">
        <v>5159</v>
      </c>
      <c r="I2422" s="3">
        <v>25</v>
      </c>
      <c r="J2422" s="3" t="s">
        <v>5938</v>
      </c>
      <c r="K2422" s="17" t="str">
        <f>HYPERLINK("http://ictvonline.org/taxonomyHistory.asp?taxnode_id=20172526","ICTVonline=20172526")</f>
        <v>ICTVonline=20172526</v>
      </c>
      <c r="L2422" s="3">
        <v>2421</v>
      </c>
    </row>
    <row r="2423" spans="1:12" x14ac:dyDescent="0.15">
      <c r="A2423" s="1" t="s">
        <v>908</v>
      </c>
      <c r="B2423" s="1" t="s">
        <v>310</v>
      </c>
      <c r="D2423" s="1" t="s">
        <v>312</v>
      </c>
      <c r="E2423" s="1" t="s">
        <v>23</v>
      </c>
      <c r="F2423" s="3">
        <v>0</v>
      </c>
      <c r="G2423" s="8" t="s">
        <v>3814</v>
      </c>
      <c r="H2423" s="8" t="s">
        <v>5159</v>
      </c>
      <c r="I2423" s="3">
        <v>26</v>
      </c>
      <c r="J2423" s="3" t="s">
        <v>5939</v>
      </c>
      <c r="K2423" s="17" t="str">
        <f>HYPERLINK("http://ictvonline.org/taxonomyHistory.asp?taxnode_id=20172527","ICTVonline=20172527")</f>
        <v>ICTVonline=20172527</v>
      </c>
      <c r="L2423" s="3">
        <v>2422</v>
      </c>
    </row>
    <row r="2424" spans="1:12" x14ac:dyDescent="0.15">
      <c r="A2424" s="1" t="s">
        <v>908</v>
      </c>
      <c r="B2424" s="1" t="s">
        <v>310</v>
      </c>
      <c r="D2424" s="1" t="s">
        <v>312</v>
      </c>
      <c r="E2424" s="1" t="s">
        <v>24</v>
      </c>
      <c r="F2424" s="3">
        <v>0</v>
      </c>
      <c r="G2424" s="8" t="s">
        <v>3814</v>
      </c>
      <c r="H2424" s="8" t="s">
        <v>5159</v>
      </c>
      <c r="I2424" s="3">
        <v>26</v>
      </c>
      <c r="J2424" s="3" t="s">
        <v>5939</v>
      </c>
      <c r="K2424" s="17" t="str">
        <f>HYPERLINK("http://ictvonline.org/taxonomyHistory.asp?taxnode_id=20172528","ICTVonline=20172528")</f>
        <v>ICTVonline=20172528</v>
      </c>
      <c r="L2424" s="3">
        <v>2423</v>
      </c>
    </row>
    <row r="2425" spans="1:12" x14ac:dyDescent="0.15">
      <c r="A2425" s="1" t="s">
        <v>908</v>
      </c>
      <c r="B2425" s="1" t="s">
        <v>310</v>
      </c>
      <c r="D2425" s="1" t="s">
        <v>312</v>
      </c>
      <c r="E2425" s="1" t="s">
        <v>25</v>
      </c>
      <c r="F2425" s="3">
        <v>0</v>
      </c>
      <c r="G2425" s="8" t="s">
        <v>3814</v>
      </c>
      <c r="H2425" s="8" t="s">
        <v>5159</v>
      </c>
      <c r="I2425" s="3">
        <v>26</v>
      </c>
      <c r="J2425" s="3" t="s">
        <v>5939</v>
      </c>
      <c r="K2425" s="17" t="str">
        <f>HYPERLINK("http://ictvonline.org/taxonomyHistory.asp?taxnode_id=20172529","ICTVonline=20172529")</f>
        <v>ICTVonline=20172529</v>
      </c>
      <c r="L2425" s="3">
        <v>2424</v>
      </c>
    </row>
    <row r="2426" spans="1:12" x14ac:dyDescent="0.15">
      <c r="A2426" s="1" t="s">
        <v>908</v>
      </c>
      <c r="B2426" s="1" t="s">
        <v>310</v>
      </c>
      <c r="D2426" s="1" t="s">
        <v>314</v>
      </c>
      <c r="E2426" s="1" t="s">
        <v>1584</v>
      </c>
      <c r="F2426" s="3">
        <v>1</v>
      </c>
      <c r="G2426" s="8" t="s">
        <v>3814</v>
      </c>
      <c r="H2426" s="8" t="s">
        <v>5164</v>
      </c>
      <c r="I2426" s="3">
        <v>25</v>
      </c>
      <c r="J2426" s="3" t="s">
        <v>5938</v>
      </c>
      <c r="K2426" s="17" t="str">
        <f>HYPERLINK("http://ictvonline.org/taxonomyHistory.asp?taxnode_id=20172531","ICTVonline=20172531")</f>
        <v>ICTVonline=20172531</v>
      </c>
      <c r="L2426" s="3">
        <v>2425</v>
      </c>
    </row>
    <row r="2427" spans="1:12" x14ac:dyDescent="0.15">
      <c r="A2427" s="1" t="s">
        <v>908</v>
      </c>
      <c r="B2427" s="1" t="s">
        <v>310</v>
      </c>
      <c r="D2427" s="1" t="s">
        <v>1708</v>
      </c>
      <c r="E2427" s="1" t="s">
        <v>491</v>
      </c>
      <c r="F2427" s="3">
        <v>1</v>
      </c>
      <c r="G2427" s="8" t="s">
        <v>3814</v>
      </c>
      <c r="H2427" s="8" t="s">
        <v>5164</v>
      </c>
      <c r="I2427" s="3">
        <v>25</v>
      </c>
      <c r="J2427" s="3" t="s">
        <v>5938</v>
      </c>
      <c r="K2427" s="17" t="str">
        <f>HYPERLINK("http://ictvonline.org/taxonomyHistory.asp?taxnode_id=20172533","ICTVonline=20172533")</f>
        <v>ICTVonline=20172533</v>
      </c>
      <c r="L2427" s="3">
        <v>2426</v>
      </c>
    </row>
    <row r="2428" spans="1:12" x14ac:dyDescent="0.15">
      <c r="A2428" s="1" t="s">
        <v>908</v>
      </c>
      <c r="B2428" s="1" t="s">
        <v>310</v>
      </c>
      <c r="D2428" s="1" t="s">
        <v>1710</v>
      </c>
      <c r="E2428" s="1" t="s">
        <v>1587</v>
      </c>
      <c r="F2428" s="3">
        <v>1</v>
      </c>
      <c r="G2428" s="8" t="s">
        <v>3814</v>
      </c>
      <c r="H2428" s="8" t="s">
        <v>5164</v>
      </c>
      <c r="I2428" s="3">
        <v>25</v>
      </c>
      <c r="J2428" s="3" t="s">
        <v>5938</v>
      </c>
      <c r="K2428" s="17" t="str">
        <f>HYPERLINK("http://ictvonline.org/taxonomyHistory.asp?taxnode_id=20172535","ICTVonline=20172535")</f>
        <v>ICTVonline=20172535</v>
      </c>
      <c r="L2428" s="3">
        <v>2427</v>
      </c>
    </row>
    <row r="2429" spans="1:12" x14ac:dyDescent="0.15">
      <c r="A2429" s="1" t="s">
        <v>908</v>
      </c>
      <c r="B2429" s="1" t="s">
        <v>310</v>
      </c>
      <c r="D2429" s="1" t="s">
        <v>1710</v>
      </c>
      <c r="E2429" s="1" t="s">
        <v>26</v>
      </c>
      <c r="F2429" s="3">
        <v>0</v>
      </c>
      <c r="G2429" s="8" t="s">
        <v>3814</v>
      </c>
      <c r="H2429" s="8" t="s">
        <v>5159</v>
      </c>
      <c r="I2429" s="3">
        <v>26</v>
      </c>
      <c r="J2429" s="3" t="s">
        <v>5940</v>
      </c>
      <c r="K2429" s="17" t="str">
        <f>HYPERLINK("http://ictvonline.org/taxonomyHistory.asp?taxnode_id=20172536","ICTVonline=20172536")</f>
        <v>ICTVonline=20172536</v>
      </c>
      <c r="L2429" s="3">
        <v>2428</v>
      </c>
    </row>
    <row r="2430" spans="1:12" x14ac:dyDescent="0.15">
      <c r="A2430" s="1" t="s">
        <v>908</v>
      </c>
      <c r="B2430" s="1" t="s">
        <v>310</v>
      </c>
      <c r="D2430" s="1" t="s">
        <v>313</v>
      </c>
      <c r="E2430" s="1" t="s">
        <v>1897</v>
      </c>
      <c r="F2430" s="3">
        <v>1</v>
      </c>
      <c r="G2430" s="8" t="s">
        <v>3814</v>
      </c>
      <c r="H2430" s="8" t="s">
        <v>5164</v>
      </c>
      <c r="I2430" s="3">
        <v>25</v>
      </c>
      <c r="J2430" s="3" t="s">
        <v>5938</v>
      </c>
      <c r="K2430" s="17" t="str">
        <f>HYPERLINK("http://ictvonline.org/taxonomyHistory.asp?taxnode_id=20172538","ICTVonline=20172538")</f>
        <v>ICTVonline=20172538</v>
      </c>
      <c r="L2430" s="3">
        <v>2429</v>
      </c>
    </row>
    <row r="2431" spans="1:12" x14ac:dyDescent="0.15">
      <c r="A2431" s="1" t="s">
        <v>908</v>
      </c>
      <c r="B2431" s="1" t="s">
        <v>310</v>
      </c>
      <c r="D2431" s="1" t="s">
        <v>313</v>
      </c>
      <c r="E2431" s="1" t="s">
        <v>1898</v>
      </c>
      <c r="F2431" s="3">
        <v>0</v>
      </c>
      <c r="G2431" s="8" t="s">
        <v>3814</v>
      </c>
      <c r="H2431" s="8" t="s">
        <v>5159</v>
      </c>
      <c r="I2431" s="3">
        <v>25</v>
      </c>
      <c r="J2431" s="3" t="s">
        <v>5938</v>
      </c>
      <c r="K2431" s="17" t="str">
        <f>HYPERLINK("http://ictvonline.org/taxonomyHistory.asp?taxnode_id=20172539","ICTVonline=20172539")</f>
        <v>ICTVonline=20172539</v>
      </c>
      <c r="L2431" s="3">
        <v>2430</v>
      </c>
    </row>
    <row r="2432" spans="1:12" x14ac:dyDescent="0.15">
      <c r="A2432" s="1" t="s">
        <v>908</v>
      </c>
      <c r="B2432" s="1" t="s">
        <v>310</v>
      </c>
      <c r="D2432" s="1" t="s">
        <v>313</v>
      </c>
      <c r="E2432" s="1" t="s">
        <v>33</v>
      </c>
      <c r="F2432" s="3">
        <v>0</v>
      </c>
      <c r="G2432" s="8" t="s">
        <v>3814</v>
      </c>
      <c r="H2432" s="8" t="s">
        <v>5159</v>
      </c>
      <c r="I2432" s="3">
        <v>26</v>
      </c>
      <c r="J2432" s="3" t="s">
        <v>5941</v>
      </c>
      <c r="K2432" s="17" t="str">
        <f>HYPERLINK("http://ictvonline.org/taxonomyHistory.asp?taxnode_id=20172540","ICTVonline=20172540")</f>
        <v>ICTVonline=20172540</v>
      </c>
      <c r="L2432" s="3">
        <v>2431</v>
      </c>
    </row>
    <row r="2433" spans="1:12" x14ac:dyDescent="0.15">
      <c r="A2433" s="1" t="s">
        <v>908</v>
      </c>
      <c r="B2433" s="1" t="s">
        <v>310</v>
      </c>
      <c r="D2433" s="1" t="s">
        <v>313</v>
      </c>
      <c r="E2433" s="1" t="s">
        <v>34</v>
      </c>
      <c r="F2433" s="3">
        <v>0</v>
      </c>
      <c r="G2433" s="8" t="s">
        <v>3814</v>
      </c>
      <c r="H2433" s="8" t="s">
        <v>5159</v>
      </c>
      <c r="I2433" s="3">
        <v>26</v>
      </c>
      <c r="J2433" s="3" t="s">
        <v>5941</v>
      </c>
      <c r="K2433" s="17" t="str">
        <f>HYPERLINK("http://ictvonline.org/taxonomyHistory.asp?taxnode_id=20172541","ICTVonline=20172541")</f>
        <v>ICTVonline=20172541</v>
      </c>
      <c r="L2433" s="3">
        <v>2432</v>
      </c>
    </row>
    <row r="2434" spans="1:12" x14ac:dyDescent="0.15">
      <c r="A2434" s="1" t="s">
        <v>908</v>
      </c>
      <c r="B2434" s="1" t="s">
        <v>310</v>
      </c>
      <c r="D2434" s="1" t="s">
        <v>313</v>
      </c>
      <c r="E2434" s="1" t="s">
        <v>35</v>
      </c>
      <c r="F2434" s="3">
        <v>0</v>
      </c>
      <c r="G2434" s="8" t="s">
        <v>3814</v>
      </c>
      <c r="H2434" s="8" t="s">
        <v>5159</v>
      </c>
      <c r="I2434" s="3">
        <v>26</v>
      </c>
      <c r="J2434" s="3" t="s">
        <v>5941</v>
      </c>
      <c r="K2434" s="17" t="str">
        <f>HYPERLINK("http://ictvonline.org/taxonomyHistory.asp?taxnode_id=20172542","ICTVonline=20172542")</f>
        <v>ICTVonline=20172542</v>
      </c>
      <c r="L2434" s="3">
        <v>2433</v>
      </c>
    </row>
    <row r="2435" spans="1:12" x14ac:dyDescent="0.15">
      <c r="A2435" s="1" t="s">
        <v>908</v>
      </c>
      <c r="B2435" s="1" t="s">
        <v>310</v>
      </c>
      <c r="D2435" s="1" t="s">
        <v>313</v>
      </c>
      <c r="E2435" s="1" t="s">
        <v>36</v>
      </c>
      <c r="F2435" s="3">
        <v>0</v>
      </c>
      <c r="G2435" s="8" t="s">
        <v>3814</v>
      </c>
      <c r="H2435" s="8" t="s">
        <v>5159</v>
      </c>
      <c r="I2435" s="3">
        <v>26</v>
      </c>
      <c r="J2435" s="3" t="s">
        <v>5941</v>
      </c>
      <c r="K2435" s="17" t="str">
        <f>HYPERLINK("http://ictvonline.org/taxonomyHistory.asp?taxnode_id=20172543","ICTVonline=20172543")</f>
        <v>ICTVonline=20172543</v>
      </c>
      <c r="L2435" s="3">
        <v>2434</v>
      </c>
    </row>
    <row r="2436" spans="1:12" x14ac:dyDescent="0.15">
      <c r="A2436" s="1" t="s">
        <v>908</v>
      </c>
      <c r="B2436" s="1" t="s">
        <v>310</v>
      </c>
      <c r="D2436" s="1" t="s">
        <v>313</v>
      </c>
      <c r="E2436" s="1" t="s">
        <v>37</v>
      </c>
      <c r="F2436" s="3">
        <v>0</v>
      </c>
      <c r="G2436" s="8" t="s">
        <v>3814</v>
      </c>
      <c r="H2436" s="8" t="s">
        <v>5159</v>
      </c>
      <c r="I2436" s="3">
        <v>26</v>
      </c>
      <c r="J2436" s="3" t="s">
        <v>5941</v>
      </c>
      <c r="K2436" s="17" t="str">
        <f>HYPERLINK("http://ictvonline.org/taxonomyHistory.asp?taxnode_id=20172544","ICTVonline=20172544")</f>
        <v>ICTVonline=20172544</v>
      </c>
      <c r="L2436" s="3">
        <v>2435</v>
      </c>
    </row>
    <row r="2437" spans="1:12" x14ac:dyDescent="0.15">
      <c r="A2437" s="1" t="s">
        <v>908</v>
      </c>
      <c r="B2437" s="1" t="s">
        <v>310</v>
      </c>
      <c r="D2437" s="1" t="s">
        <v>313</v>
      </c>
      <c r="E2437" s="1" t="s">
        <v>38</v>
      </c>
      <c r="F2437" s="3">
        <v>0</v>
      </c>
      <c r="G2437" s="8" t="s">
        <v>3814</v>
      </c>
      <c r="H2437" s="8" t="s">
        <v>5159</v>
      </c>
      <c r="I2437" s="3">
        <v>26</v>
      </c>
      <c r="J2437" s="3" t="s">
        <v>5941</v>
      </c>
      <c r="K2437" s="17" t="str">
        <f>HYPERLINK("http://ictvonline.org/taxonomyHistory.asp?taxnode_id=20172545","ICTVonline=20172545")</f>
        <v>ICTVonline=20172545</v>
      </c>
      <c r="L2437" s="3">
        <v>2436</v>
      </c>
    </row>
    <row r="2438" spans="1:12" x14ac:dyDescent="0.15">
      <c r="A2438" s="1" t="s">
        <v>908</v>
      </c>
      <c r="B2438" s="1" t="s">
        <v>310</v>
      </c>
      <c r="D2438" s="1" t="s">
        <v>313</v>
      </c>
      <c r="E2438" s="1" t="s">
        <v>39</v>
      </c>
      <c r="F2438" s="3">
        <v>0</v>
      </c>
      <c r="G2438" s="8" t="s">
        <v>3814</v>
      </c>
      <c r="H2438" s="8" t="s">
        <v>5159</v>
      </c>
      <c r="I2438" s="3">
        <v>26</v>
      </c>
      <c r="J2438" s="3" t="s">
        <v>5941</v>
      </c>
      <c r="K2438" s="17" t="str">
        <f>HYPERLINK("http://ictvonline.org/taxonomyHistory.asp?taxnode_id=20172546","ICTVonline=20172546")</f>
        <v>ICTVonline=20172546</v>
      </c>
      <c r="L2438" s="3">
        <v>2437</v>
      </c>
    </row>
    <row r="2439" spans="1:12" x14ac:dyDescent="0.15">
      <c r="A2439" s="1" t="s">
        <v>908</v>
      </c>
      <c r="B2439" s="1" t="s">
        <v>310</v>
      </c>
      <c r="D2439" s="1" t="s">
        <v>313</v>
      </c>
      <c r="E2439" s="1" t="s">
        <v>27</v>
      </c>
      <c r="F2439" s="3">
        <v>0</v>
      </c>
      <c r="G2439" s="8" t="s">
        <v>3814</v>
      </c>
      <c r="H2439" s="8" t="s">
        <v>5159</v>
      </c>
      <c r="I2439" s="3">
        <v>26</v>
      </c>
      <c r="J2439" s="3" t="s">
        <v>5941</v>
      </c>
      <c r="K2439" s="17" t="str">
        <f>HYPERLINK("http://ictvonline.org/taxonomyHistory.asp?taxnode_id=20172547","ICTVonline=20172547")</f>
        <v>ICTVonline=20172547</v>
      </c>
      <c r="L2439" s="3">
        <v>2438</v>
      </c>
    </row>
    <row r="2440" spans="1:12" x14ac:dyDescent="0.15">
      <c r="A2440" s="1" t="s">
        <v>908</v>
      </c>
      <c r="B2440" s="1" t="s">
        <v>310</v>
      </c>
      <c r="D2440" s="1" t="s">
        <v>313</v>
      </c>
      <c r="E2440" s="1" t="s">
        <v>28</v>
      </c>
      <c r="F2440" s="3">
        <v>0</v>
      </c>
      <c r="G2440" s="8" t="s">
        <v>3814</v>
      </c>
      <c r="H2440" s="8" t="s">
        <v>5159</v>
      </c>
      <c r="I2440" s="3">
        <v>26</v>
      </c>
      <c r="J2440" s="3" t="s">
        <v>5941</v>
      </c>
      <c r="K2440" s="17" t="str">
        <f>HYPERLINK("http://ictvonline.org/taxonomyHistory.asp?taxnode_id=20172548","ICTVonline=20172548")</f>
        <v>ICTVonline=20172548</v>
      </c>
      <c r="L2440" s="3">
        <v>2439</v>
      </c>
    </row>
    <row r="2441" spans="1:12" x14ac:dyDescent="0.15">
      <c r="A2441" s="1" t="s">
        <v>908</v>
      </c>
      <c r="B2441" s="1" t="s">
        <v>310</v>
      </c>
      <c r="D2441" s="1" t="s">
        <v>313</v>
      </c>
      <c r="E2441" s="1" t="s">
        <v>29</v>
      </c>
      <c r="F2441" s="3">
        <v>0</v>
      </c>
      <c r="G2441" s="8" t="s">
        <v>3814</v>
      </c>
      <c r="H2441" s="8" t="s">
        <v>5159</v>
      </c>
      <c r="I2441" s="3">
        <v>26</v>
      </c>
      <c r="J2441" s="3" t="s">
        <v>5941</v>
      </c>
      <c r="K2441" s="17" t="str">
        <f>HYPERLINK("http://ictvonline.org/taxonomyHistory.asp?taxnode_id=20172549","ICTVonline=20172549")</f>
        <v>ICTVonline=20172549</v>
      </c>
      <c r="L2441" s="3">
        <v>2440</v>
      </c>
    </row>
    <row r="2442" spans="1:12" x14ac:dyDescent="0.15">
      <c r="A2442" s="1" t="s">
        <v>908</v>
      </c>
      <c r="B2442" s="1" t="s">
        <v>310</v>
      </c>
      <c r="D2442" s="1" t="s">
        <v>313</v>
      </c>
      <c r="E2442" s="1" t="s">
        <v>30</v>
      </c>
      <c r="F2442" s="3">
        <v>0</v>
      </c>
      <c r="G2442" s="8" t="s">
        <v>3814</v>
      </c>
      <c r="H2442" s="8" t="s">
        <v>5159</v>
      </c>
      <c r="I2442" s="3">
        <v>26</v>
      </c>
      <c r="J2442" s="3" t="s">
        <v>5941</v>
      </c>
      <c r="K2442" s="17" t="str">
        <f>HYPERLINK("http://ictvonline.org/taxonomyHistory.asp?taxnode_id=20172550","ICTVonline=20172550")</f>
        <v>ICTVonline=20172550</v>
      </c>
      <c r="L2442" s="3">
        <v>2441</v>
      </c>
    </row>
    <row r="2443" spans="1:12" x14ac:dyDescent="0.15">
      <c r="A2443" s="1" t="s">
        <v>908</v>
      </c>
      <c r="B2443" s="1" t="s">
        <v>310</v>
      </c>
      <c r="D2443" s="1" t="s">
        <v>313</v>
      </c>
      <c r="E2443" s="1" t="s">
        <v>31</v>
      </c>
      <c r="F2443" s="3">
        <v>0</v>
      </c>
      <c r="G2443" s="8" t="s">
        <v>3814</v>
      </c>
      <c r="H2443" s="8" t="s">
        <v>5159</v>
      </c>
      <c r="I2443" s="3">
        <v>26</v>
      </c>
      <c r="J2443" s="3" t="s">
        <v>5941</v>
      </c>
      <c r="K2443" s="17" t="str">
        <f>HYPERLINK("http://ictvonline.org/taxonomyHistory.asp?taxnode_id=20172551","ICTVonline=20172551")</f>
        <v>ICTVonline=20172551</v>
      </c>
      <c r="L2443" s="3">
        <v>2442</v>
      </c>
    </row>
    <row r="2444" spans="1:12" x14ac:dyDescent="0.15">
      <c r="A2444" s="1" t="s">
        <v>908</v>
      </c>
      <c r="B2444" s="1" t="s">
        <v>310</v>
      </c>
      <c r="D2444" s="1" t="s">
        <v>313</v>
      </c>
      <c r="E2444" s="1" t="s">
        <v>32</v>
      </c>
      <c r="F2444" s="3">
        <v>0</v>
      </c>
      <c r="G2444" s="8" t="s">
        <v>3814</v>
      </c>
      <c r="H2444" s="8" t="s">
        <v>5159</v>
      </c>
      <c r="I2444" s="3">
        <v>26</v>
      </c>
      <c r="J2444" s="3" t="s">
        <v>5941</v>
      </c>
      <c r="K2444" s="17" t="str">
        <f>HYPERLINK("http://ictvonline.org/taxonomyHistory.asp?taxnode_id=20172552","ICTVonline=20172552")</f>
        <v>ICTVonline=20172552</v>
      </c>
      <c r="L2444" s="3">
        <v>2443</v>
      </c>
    </row>
    <row r="2445" spans="1:12" x14ac:dyDescent="0.15">
      <c r="A2445" s="1" t="s">
        <v>908</v>
      </c>
      <c r="B2445" s="1" t="s">
        <v>310</v>
      </c>
      <c r="D2445" s="1" t="s">
        <v>1977</v>
      </c>
      <c r="E2445" s="1" t="s">
        <v>1978</v>
      </c>
      <c r="F2445" s="3">
        <v>1</v>
      </c>
      <c r="G2445" s="8" t="s">
        <v>3814</v>
      </c>
      <c r="H2445" s="8" t="s">
        <v>5161</v>
      </c>
      <c r="I2445" s="3">
        <v>30</v>
      </c>
      <c r="J2445" s="3" t="s">
        <v>5942</v>
      </c>
      <c r="K2445" s="17" t="str">
        <f>HYPERLINK("http://ictvonline.org/taxonomyHistory.asp?taxnode_id=20172554","ICTVonline=20172554")</f>
        <v>ICTVonline=20172554</v>
      </c>
      <c r="L2445" s="3">
        <v>2444</v>
      </c>
    </row>
    <row r="2446" spans="1:12" x14ac:dyDescent="0.15">
      <c r="A2446" s="1" t="s">
        <v>908</v>
      </c>
      <c r="B2446" s="1" t="s">
        <v>310</v>
      </c>
      <c r="D2446" s="1" t="s">
        <v>1712</v>
      </c>
      <c r="E2446" s="1" t="s">
        <v>40</v>
      </c>
      <c r="F2446" s="3">
        <v>1</v>
      </c>
      <c r="G2446" s="8" t="s">
        <v>3814</v>
      </c>
      <c r="H2446" s="8" t="s">
        <v>5162</v>
      </c>
      <c r="I2446" s="3">
        <v>26</v>
      </c>
      <c r="J2446" s="3" t="s">
        <v>5943</v>
      </c>
      <c r="K2446" s="17" t="str">
        <f>HYPERLINK("http://ictvonline.org/taxonomyHistory.asp?taxnode_id=20172556","ICTVonline=20172556")</f>
        <v>ICTVonline=20172556</v>
      </c>
      <c r="L2446" s="3">
        <v>2445</v>
      </c>
    </row>
    <row r="2447" spans="1:12" x14ac:dyDescent="0.15">
      <c r="A2447" s="1" t="s">
        <v>908</v>
      </c>
      <c r="B2447" s="1" t="s">
        <v>310</v>
      </c>
      <c r="D2447" s="1" t="s">
        <v>1712</v>
      </c>
      <c r="E2447" s="1" t="s">
        <v>41</v>
      </c>
      <c r="F2447" s="3">
        <v>0</v>
      </c>
      <c r="G2447" s="8" t="s">
        <v>3814</v>
      </c>
      <c r="H2447" s="8" t="s">
        <v>5162</v>
      </c>
      <c r="I2447" s="3">
        <v>26</v>
      </c>
      <c r="J2447" s="3" t="s">
        <v>5943</v>
      </c>
      <c r="K2447" s="17" t="str">
        <f>HYPERLINK("http://ictvonline.org/taxonomyHistory.asp?taxnode_id=20172557","ICTVonline=20172557")</f>
        <v>ICTVonline=20172557</v>
      </c>
      <c r="L2447" s="3">
        <v>2446</v>
      </c>
    </row>
    <row r="2448" spans="1:12" x14ac:dyDescent="0.15">
      <c r="A2448" s="1" t="s">
        <v>908</v>
      </c>
      <c r="B2448" s="1" t="s">
        <v>310</v>
      </c>
      <c r="D2448" s="1" t="s">
        <v>42</v>
      </c>
      <c r="E2448" s="1" t="s">
        <v>3815</v>
      </c>
      <c r="F2448" s="3">
        <v>1</v>
      </c>
      <c r="G2448" s="8" t="s">
        <v>3814</v>
      </c>
      <c r="H2448" s="8" t="s">
        <v>5162</v>
      </c>
      <c r="I2448" s="3">
        <v>30</v>
      </c>
      <c r="J2448" s="3" t="s">
        <v>5944</v>
      </c>
      <c r="K2448" s="17" t="str">
        <f>HYPERLINK("http://ictvonline.org/taxonomyHistory.asp?taxnode_id=20172559","ICTVonline=20172559")</f>
        <v>ICTVonline=20172559</v>
      </c>
      <c r="L2448" s="3">
        <v>2447</v>
      </c>
    </row>
    <row r="2449" spans="1:12" x14ac:dyDescent="0.15">
      <c r="A2449" s="1" t="s">
        <v>908</v>
      </c>
      <c r="B2449" s="1" t="s">
        <v>310</v>
      </c>
      <c r="D2449" s="1" t="s">
        <v>42</v>
      </c>
      <c r="E2449" s="1" t="s">
        <v>3816</v>
      </c>
      <c r="F2449" s="3">
        <v>0</v>
      </c>
      <c r="G2449" s="8" t="s">
        <v>3814</v>
      </c>
      <c r="H2449" s="8" t="s">
        <v>5159</v>
      </c>
      <c r="I2449" s="3">
        <v>30</v>
      </c>
      <c r="J2449" s="3" t="s">
        <v>5944</v>
      </c>
      <c r="K2449" s="17" t="str">
        <f>HYPERLINK("http://ictvonline.org/taxonomyHistory.asp?taxnode_id=20172560","ICTVonline=20172560")</f>
        <v>ICTVonline=20172560</v>
      </c>
      <c r="L2449" s="3">
        <v>2448</v>
      </c>
    </row>
    <row r="2450" spans="1:12" x14ac:dyDescent="0.15">
      <c r="A2450" s="1" t="s">
        <v>908</v>
      </c>
      <c r="B2450" s="1" t="s">
        <v>310</v>
      </c>
      <c r="D2450" s="1" t="s">
        <v>43</v>
      </c>
      <c r="E2450" s="1" t="s">
        <v>44</v>
      </c>
      <c r="F2450" s="3">
        <v>1</v>
      </c>
      <c r="G2450" s="8" t="s">
        <v>3814</v>
      </c>
      <c r="H2450" s="8" t="s">
        <v>5164</v>
      </c>
      <c r="I2450" s="3">
        <v>26</v>
      </c>
      <c r="J2450" s="3" t="s">
        <v>5945</v>
      </c>
      <c r="K2450" s="17" t="str">
        <f>HYPERLINK("http://ictvonline.org/taxonomyHistory.asp?taxnode_id=20172562","ICTVonline=20172562")</f>
        <v>ICTVonline=20172562</v>
      </c>
      <c r="L2450" s="3">
        <v>2449</v>
      </c>
    </row>
    <row r="2451" spans="1:12" x14ac:dyDescent="0.15">
      <c r="A2451" s="1" t="s">
        <v>908</v>
      </c>
      <c r="B2451" s="1" t="s">
        <v>310</v>
      </c>
      <c r="D2451" s="1" t="s">
        <v>1711</v>
      </c>
      <c r="E2451" s="1" t="s">
        <v>1588</v>
      </c>
      <c r="F2451" s="3">
        <v>1</v>
      </c>
      <c r="G2451" s="8" t="s">
        <v>3814</v>
      </c>
      <c r="H2451" s="8" t="s">
        <v>5164</v>
      </c>
      <c r="I2451" s="3">
        <v>25</v>
      </c>
      <c r="J2451" s="3" t="s">
        <v>5938</v>
      </c>
      <c r="K2451" s="17" t="str">
        <f>HYPERLINK("http://ictvonline.org/taxonomyHistory.asp?taxnode_id=20172564","ICTVonline=20172564")</f>
        <v>ICTVonline=20172564</v>
      </c>
      <c r="L2451" s="3">
        <v>2450</v>
      </c>
    </row>
    <row r="2452" spans="1:12" x14ac:dyDescent="0.15">
      <c r="A2452" s="1" t="s">
        <v>908</v>
      </c>
      <c r="B2452" s="1" t="s">
        <v>310</v>
      </c>
      <c r="D2452" s="1" t="s">
        <v>1709</v>
      </c>
      <c r="E2452" s="1" t="s">
        <v>492</v>
      </c>
      <c r="F2452" s="3">
        <v>1</v>
      </c>
      <c r="G2452" s="8" t="s">
        <v>3814</v>
      </c>
      <c r="H2452" s="8" t="s">
        <v>5164</v>
      </c>
      <c r="I2452" s="3">
        <v>25</v>
      </c>
      <c r="J2452" s="3" t="s">
        <v>5938</v>
      </c>
      <c r="K2452" s="17" t="str">
        <f>HYPERLINK("http://ictvonline.org/taxonomyHistory.asp?taxnode_id=20172566","ICTVonline=20172566")</f>
        <v>ICTVonline=20172566</v>
      </c>
      <c r="L2452" s="3">
        <v>2451</v>
      </c>
    </row>
    <row r="2453" spans="1:12" x14ac:dyDescent="0.15">
      <c r="A2453" s="1" t="s">
        <v>908</v>
      </c>
      <c r="B2453" s="1" t="s">
        <v>1071</v>
      </c>
      <c r="D2453" s="1" t="s">
        <v>5946</v>
      </c>
      <c r="E2453" s="1" t="s">
        <v>5947</v>
      </c>
      <c r="F2453" s="3">
        <v>1</v>
      </c>
      <c r="G2453" s="8" t="s">
        <v>3817</v>
      </c>
      <c r="H2453" s="8" t="s">
        <v>5159</v>
      </c>
      <c r="I2453" s="3">
        <v>32</v>
      </c>
      <c r="J2453" s="3" t="s">
        <v>5948</v>
      </c>
      <c r="K2453" s="17" t="str">
        <f>HYPERLINK("http://ictvonline.org/taxonomyHistory.asp?taxnode_id=20175740","ICTVonline=20175740")</f>
        <v>ICTVonline=20175740</v>
      </c>
      <c r="L2453" s="3">
        <v>2452</v>
      </c>
    </row>
    <row r="2454" spans="1:12" x14ac:dyDescent="0.15">
      <c r="A2454" s="1" t="s">
        <v>908</v>
      </c>
      <c r="B2454" s="1" t="s">
        <v>1071</v>
      </c>
      <c r="D2454" s="1" t="s">
        <v>2672</v>
      </c>
      <c r="E2454" s="1" t="s">
        <v>2673</v>
      </c>
      <c r="F2454" s="3">
        <v>0</v>
      </c>
      <c r="G2454" s="8" t="s">
        <v>3817</v>
      </c>
      <c r="H2454" s="8" t="s">
        <v>5160</v>
      </c>
      <c r="I2454" s="3">
        <v>29</v>
      </c>
      <c r="J2454" s="3" t="s">
        <v>5949</v>
      </c>
      <c r="K2454" s="17" t="str">
        <f>HYPERLINK("http://ictvonline.org/taxonomyHistory.asp?taxnode_id=20172570","ICTVonline=20172570")</f>
        <v>ICTVonline=20172570</v>
      </c>
      <c r="L2454" s="3">
        <v>2453</v>
      </c>
    </row>
    <row r="2455" spans="1:12" x14ac:dyDescent="0.15">
      <c r="A2455" s="1" t="s">
        <v>908</v>
      </c>
      <c r="B2455" s="1" t="s">
        <v>1071</v>
      </c>
      <c r="D2455" s="1" t="s">
        <v>2672</v>
      </c>
      <c r="E2455" s="1" t="s">
        <v>5950</v>
      </c>
      <c r="F2455" s="3">
        <v>0</v>
      </c>
      <c r="G2455" s="8" t="s">
        <v>3817</v>
      </c>
      <c r="H2455" s="8" t="s">
        <v>5162</v>
      </c>
      <c r="I2455" s="3">
        <v>32</v>
      </c>
      <c r="J2455" s="3" t="s">
        <v>5564</v>
      </c>
      <c r="K2455" s="17" t="str">
        <f>HYPERLINK("http://ictvonline.org/taxonomyHistory.asp?taxnode_id=20172579","ICTVonline=20172579")</f>
        <v>ICTVonline=20172579</v>
      </c>
      <c r="L2455" s="3">
        <v>2454</v>
      </c>
    </row>
    <row r="2456" spans="1:12" x14ac:dyDescent="0.15">
      <c r="A2456" s="1" t="s">
        <v>908</v>
      </c>
      <c r="B2456" s="1" t="s">
        <v>1071</v>
      </c>
      <c r="D2456" s="1" t="s">
        <v>2672</v>
      </c>
      <c r="E2456" s="1" t="s">
        <v>2674</v>
      </c>
      <c r="F2456" s="3">
        <v>0</v>
      </c>
      <c r="G2456" s="8" t="s">
        <v>3817</v>
      </c>
      <c r="H2456" s="8" t="s">
        <v>5160</v>
      </c>
      <c r="I2456" s="3">
        <v>29</v>
      </c>
      <c r="J2456" s="3" t="s">
        <v>5949</v>
      </c>
      <c r="K2456" s="17" t="str">
        <f>HYPERLINK("http://ictvonline.org/taxonomyHistory.asp?taxnode_id=20172572","ICTVonline=20172572")</f>
        <v>ICTVonline=20172572</v>
      </c>
      <c r="L2456" s="3">
        <v>2455</v>
      </c>
    </row>
    <row r="2457" spans="1:12" x14ac:dyDescent="0.15">
      <c r="A2457" s="1" t="s">
        <v>908</v>
      </c>
      <c r="B2457" s="1" t="s">
        <v>1071</v>
      </c>
      <c r="D2457" s="1" t="s">
        <v>2672</v>
      </c>
      <c r="E2457" s="1" t="s">
        <v>5951</v>
      </c>
      <c r="F2457" s="3">
        <v>0</v>
      </c>
      <c r="G2457" s="8" t="s">
        <v>3817</v>
      </c>
      <c r="H2457" s="8" t="s">
        <v>5162</v>
      </c>
      <c r="I2457" s="3">
        <v>32</v>
      </c>
      <c r="J2457" s="3" t="s">
        <v>5564</v>
      </c>
      <c r="K2457" s="17" t="str">
        <f>HYPERLINK("http://ictvonline.org/taxonomyHistory.asp?taxnode_id=20172597","ICTVonline=20172597")</f>
        <v>ICTVonline=20172597</v>
      </c>
      <c r="L2457" s="3">
        <v>2456</v>
      </c>
    </row>
    <row r="2458" spans="1:12" x14ac:dyDescent="0.15">
      <c r="A2458" s="1" t="s">
        <v>908</v>
      </c>
      <c r="B2458" s="1" t="s">
        <v>1071</v>
      </c>
      <c r="D2458" s="1" t="s">
        <v>2672</v>
      </c>
      <c r="E2458" s="1" t="s">
        <v>5952</v>
      </c>
      <c r="F2458" s="3">
        <v>0</v>
      </c>
      <c r="G2458" s="8" t="s">
        <v>3817</v>
      </c>
      <c r="H2458" s="8" t="s">
        <v>5162</v>
      </c>
      <c r="I2458" s="3">
        <v>32</v>
      </c>
      <c r="J2458" s="3" t="s">
        <v>5564</v>
      </c>
      <c r="K2458" s="17" t="str">
        <f>HYPERLINK("http://ictvonline.org/taxonomyHistory.asp?taxnode_id=20172595","ICTVonline=20172595")</f>
        <v>ICTVonline=20172595</v>
      </c>
      <c r="L2458" s="3">
        <v>2457</v>
      </c>
    </row>
    <row r="2459" spans="1:12" x14ac:dyDescent="0.15">
      <c r="A2459" s="1" t="s">
        <v>908</v>
      </c>
      <c r="B2459" s="1" t="s">
        <v>1071</v>
      </c>
      <c r="D2459" s="1" t="s">
        <v>2672</v>
      </c>
      <c r="E2459" s="1" t="s">
        <v>2675</v>
      </c>
      <c r="F2459" s="3">
        <v>0</v>
      </c>
      <c r="G2459" s="8" t="s">
        <v>3817</v>
      </c>
      <c r="H2459" s="8" t="s">
        <v>5160</v>
      </c>
      <c r="I2459" s="3">
        <v>29</v>
      </c>
      <c r="J2459" s="3" t="s">
        <v>5949</v>
      </c>
      <c r="K2459" s="17" t="str">
        <f>HYPERLINK("http://ictvonline.org/taxonomyHistory.asp?taxnode_id=20172573","ICTVonline=20172573")</f>
        <v>ICTVonline=20172573</v>
      </c>
      <c r="L2459" s="3">
        <v>2458</v>
      </c>
    </row>
    <row r="2460" spans="1:12" x14ac:dyDescent="0.15">
      <c r="A2460" s="1" t="s">
        <v>908</v>
      </c>
      <c r="B2460" s="1" t="s">
        <v>1071</v>
      </c>
      <c r="D2460" s="1" t="s">
        <v>2672</v>
      </c>
      <c r="E2460" s="1" t="s">
        <v>2676</v>
      </c>
      <c r="F2460" s="3">
        <v>0</v>
      </c>
      <c r="G2460" s="8" t="s">
        <v>3817</v>
      </c>
      <c r="H2460" s="8" t="s">
        <v>5160</v>
      </c>
      <c r="I2460" s="3">
        <v>29</v>
      </c>
      <c r="J2460" s="3" t="s">
        <v>5949</v>
      </c>
      <c r="K2460" s="17" t="str">
        <f>HYPERLINK("http://ictvonline.org/taxonomyHistory.asp?taxnode_id=20172574","ICTVonline=20172574")</f>
        <v>ICTVonline=20172574</v>
      </c>
      <c r="L2460" s="3">
        <v>2459</v>
      </c>
    </row>
    <row r="2461" spans="1:12" x14ac:dyDescent="0.15">
      <c r="A2461" s="1" t="s">
        <v>908</v>
      </c>
      <c r="B2461" s="1" t="s">
        <v>1071</v>
      </c>
      <c r="D2461" s="1" t="s">
        <v>2672</v>
      </c>
      <c r="E2461" s="1" t="s">
        <v>2677</v>
      </c>
      <c r="F2461" s="3">
        <v>0</v>
      </c>
      <c r="G2461" s="8" t="s">
        <v>3817</v>
      </c>
      <c r="H2461" s="8" t="s">
        <v>5160</v>
      </c>
      <c r="I2461" s="3">
        <v>29</v>
      </c>
      <c r="J2461" s="3" t="s">
        <v>5949</v>
      </c>
      <c r="K2461" s="17" t="str">
        <f>HYPERLINK("http://ictvonline.org/taxonomyHistory.asp?taxnode_id=20172575","ICTVonline=20172575")</f>
        <v>ICTVonline=20172575</v>
      </c>
      <c r="L2461" s="3">
        <v>2460</v>
      </c>
    </row>
    <row r="2462" spans="1:12" x14ac:dyDescent="0.15">
      <c r="A2462" s="1" t="s">
        <v>908</v>
      </c>
      <c r="B2462" s="1" t="s">
        <v>1071</v>
      </c>
      <c r="D2462" s="1" t="s">
        <v>2672</v>
      </c>
      <c r="E2462" s="1" t="s">
        <v>3818</v>
      </c>
      <c r="F2462" s="3">
        <v>0</v>
      </c>
      <c r="G2462" s="8" t="s">
        <v>3817</v>
      </c>
      <c r="H2462" s="8" t="s">
        <v>5159</v>
      </c>
      <c r="I2462" s="3">
        <v>30</v>
      </c>
      <c r="J2462" s="3" t="s">
        <v>5953</v>
      </c>
      <c r="K2462" s="17" t="str">
        <f>HYPERLINK("http://ictvonline.org/taxonomyHistory.asp?taxnode_id=20172576","ICTVonline=20172576")</f>
        <v>ICTVonline=20172576</v>
      </c>
      <c r="L2462" s="3">
        <v>2461</v>
      </c>
    </row>
    <row r="2463" spans="1:12" x14ac:dyDescent="0.15">
      <c r="A2463" s="1" t="s">
        <v>908</v>
      </c>
      <c r="B2463" s="1" t="s">
        <v>1071</v>
      </c>
      <c r="D2463" s="1" t="s">
        <v>2672</v>
      </c>
      <c r="E2463" s="1" t="s">
        <v>2678</v>
      </c>
      <c r="F2463" s="3">
        <v>0</v>
      </c>
      <c r="G2463" s="8" t="s">
        <v>3817</v>
      </c>
      <c r="H2463" s="8" t="s">
        <v>5160</v>
      </c>
      <c r="I2463" s="3">
        <v>29</v>
      </c>
      <c r="J2463" s="3" t="s">
        <v>5949</v>
      </c>
      <c r="K2463" s="17" t="str">
        <f>HYPERLINK("http://ictvonline.org/taxonomyHistory.asp?taxnode_id=20172577","ICTVonline=20172577")</f>
        <v>ICTVonline=20172577</v>
      </c>
      <c r="L2463" s="3">
        <v>2462</v>
      </c>
    </row>
    <row r="2464" spans="1:12" x14ac:dyDescent="0.15">
      <c r="A2464" s="1" t="s">
        <v>908</v>
      </c>
      <c r="B2464" s="1" t="s">
        <v>1071</v>
      </c>
      <c r="D2464" s="1" t="s">
        <v>2672</v>
      </c>
      <c r="E2464" s="1" t="s">
        <v>2679</v>
      </c>
      <c r="F2464" s="3">
        <v>0</v>
      </c>
      <c r="G2464" s="8" t="s">
        <v>3817</v>
      </c>
      <c r="H2464" s="8" t="s">
        <v>5160</v>
      </c>
      <c r="I2464" s="3">
        <v>29</v>
      </c>
      <c r="J2464" s="3" t="s">
        <v>5949</v>
      </c>
      <c r="K2464" s="17" t="str">
        <f>HYPERLINK("http://ictvonline.org/taxonomyHistory.asp?taxnode_id=20172578","ICTVonline=20172578")</f>
        <v>ICTVonline=20172578</v>
      </c>
      <c r="L2464" s="3">
        <v>2463</v>
      </c>
    </row>
    <row r="2465" spans="1:12" x14ac:dyDescent="0.15">
      <c r="A2465" s="1" t="s">
        <v>908</v>
      </c>
      <c r="B2465" s="1" t="s">
        <v>1071</v>
      </c>
      <c r="D2465" s="1" t="s">
        <v>2672</v>
      </c>
      <c r="E2465" s="1" t="s">
        <v>2680</v>
      </c>
      <c r="F2465" s="3">
        <v>0</v>
      </c>
      <c r="G2465" s="8" t="s">
        <v>3817</v>
      </c>
      <c r="H2465" s="8" t="s">
        <v>5160</v>
      </c>
      <c r="I2465" s="3">
        <v>29</v>
      </c>
      <c r="J2465" s="3" t="s">
        <v>5949</v>
      </c>
      <c r="K2465" s="17" t="str">
        <f>HYPERLINK("http://ictvonline.org/taxonomyHistory.asp?taxnode_id=20172580","ICTVonline=20172580")</f>
        <v>ICTVonline=20172580</v>
      </c>
      <c r="L2465" s="3">
        <v>2464</v>
      </c>
    </row>
    <row r="2466" spans="1:12" x14ac:dyDescent="0.15">
      <c r="A2466" s="1" t="s">
        <v>908</v>
      </c>
      <c r="B2466" s="1" t="s">
        <v>1071</v>
      </c>
      <c r="D2466" s="1" t="s">
        <v>2672</v>
      </c>
      <c r="E2466" s="1" t="s">
        <v>2681</v>
      </c>
      <c r="F2466" s="3">
        <v>0</v>
      </c>
      <c r="G2466" s="8" t="s">
        <v>3817</v>
      </c>
      <c r="H2466" s="8" t="s">
        <v>5160</v>
      </c>
      <c r="I2466" s="3">
        <v>29</v>
      </c>
      <c r="J2466" s="3" t="s">
        <v>5949</v>
      </c>
      <c r="K2466" s="17" t="str">
        <f>HYPERLINK("http://ictvonline.org/taxonomyHistory.asp?taxnode_id=20172581","ICTVonline=20172581")</f>
        <v>ICTVonline=20172581</v>
      </c>
      <c r="L2466" s="3">
        <v>2465</v>
      </c>
    </row>
    <row r="2467" spans="1:12" x14ac:dyDescent="0.15">
      <c r="A2467" s="1" t="s">
        <v>908</v>
      </c>
      <c r="B2467" s="1" t="s">
        <v>1071</v>
      </c>
      <c r="D2467" s="1" t="s">
        <v>2672</v>
      </c>
      <c r="E2467" s="1" t="s">
        <v>4859</v>
      </c>
      <c r="F2467" s="3">
        <v>0</v>
      </c>
      <c r="G2467" s="8" t="s">
        <v>3817</v>
      </c>
      <c r="H2467" s="8" t="s">
        <v>5159</v>
      </c>
      <c r="I2467" s="3">
        <v>31</v>
      </c>
      <c r="J2467" s="3" t="s">
        <v>5954</v>
      </c>
      <c r="K2467" s="17" t="str">
        <f>HYPERLINK("http://ictvonline.org/taxonomyHistory.asp?taxnode_id=20172582","ICTVonline=20172582")</f>
        <v>ICTVonline=20172582</v>
      </c>
      <c r="L2467" s="3">
        <v>2466</v>
      </c>
    </row>
    <row r="2468" spans="1:12" x14ac:dyDescent="0.15">
      <c r="A2468" s="1" t="s">
        <v>908</v>
      </c>
      <c r="B2468" s="1" t="s">
        <v>1071</v>
      </c>
      <c r="D2468" s="1" t="s">
        <v>2672</v>
      </c>
      <c r="E2468" s="1" t="s">
        <v>2682</v>
      </c>
      <c r="F2468" s="3">
        <v>0</v>
      </c>
      <c r="G2468" s="8" t="s">
        <v>3817</v>
      </c>
      <c r="H2468" s="8" t="s">
        <v>5160</v>
      </c>
      <c r="I2468" s="3">
        <v>29</v>
      </c>
      <c r="J2468" s="3" t="s">
        <v>5949</v>
      </c>
      <c r="K2468" s="17" t="str">
        <f>HYPERLINK("http://ictvonline.org/taxonomyHistory.asp?taxnode_id=20172583","ICTVonline=20172583")</f>
        <v>ICTVonline=20172583</v>
      </c>
      <c r="L2468" s="3">
        <v>2467</v>
      </c>
    </row>
    <row r="2469" spans="1:12" x14ac:dyDescent="0.15">
      <c r="A2469" s="1" t="s">
        <v>908</v>
      </c>
      <c r="B2469" s="1" t="s">
        <v>1071</v>
      </c>
      <c r="D2469" s="1" t="s">
        <v>2672</v>
      </c>
      <c r="E2469" s="1" t="s">
        <v>2683</v>
      </c>
      <c r="F2469" s="3">
        <v>0</v>
      </c>
      <c r="G2469" s="8" t="s">
        <v>3817</v>
      </c>
      <c r="H2469" s="8" t="s">
        <v>5160</v>
      </c>
      <c r="I2469" s="3">
        <v>29</v>
      </c>
      <c r="J2469" s="3" t="s">
        <v>5949</v>
      </c>
      <c r="K2469" s="17" t="str">
        <f>HYPERLINK("http://ictvonline.org/taxonomyHistory.asp?taxnode_id=20172584","ICTVonline=20172584")</f>
        <v>ICTVonline=20172584</v>
      </c>
      <c r="L2469" s="3">
        <v>2468</v>
      </c>
    </row>
    <row r="2470" spans="1:12" x14ac:dyDescent="0.15">
      <c r="A2470" s="1" t="s">
        <v>908</v>
      </c>
      <c r="B2470" s="1" t="s">
        <v>1071</v>
      </c>
      <c r="D2470" s="1" t="s">
        <v>2672</v>
      </c>
      <c r="E2470" s="1" t="s">
        <v>2684</v>
      </c>
      <c r="F2470" s="3">
        <v>0</v>
      </c>
      <c r="G2470" s="8" t="s">
        <v>3817</v>
      </c>
      <c r="H2470" s="8" t="s">
        <v>5159</v>
      </c>
      <c r="I2470" s="3">
        <v>29</v>
      </c>
      <c r="J2470" s="3" t="s">
        <v>5955</v>
      </c>
      <c r="K2470" s="17" t="str">
        <f>HYPERLINK("http://ictvonline.org/taxonomyHistory.asp?taxnode_id=20172585","ICTVonline=20172585")</f>
        <v>ICTVonline=20172585</v>
      </c>
      <c r="L2470" s="3">
        <v>2469</v>
      </c>
    </row>
    <row r="2471" spans="1:12" x14ac:dyDescent="0.15">
      <c r="A2471" s="1" t="s">
        <v>908</v>
      </c>
      <c r="B2471" s="1" t="s">
        <v>1071</v>
      </c>
      <c r="D2471" s="1" t="s">
        <v>2672</v>
      </c>
      <c r="E2471" s="1" t="s">
        <v>2685</v>
      </c>
      <c r="F2471" s="3">
        <v>1</v>
      </c>
      <c r="G2471" s="8" t="s">
        <v>3817</v>
      </c>
      <c r="H2471" s="8" t="s">
        <v>5160</v>
      </c>
      <c r="I2471" s="3">
        <v>29</v>
      </c>
      <c r="J2471" s="3" t="s">
        <v>5949</v>
      </c>
      <c r="K2471" s="17" t="str">
        <f>HYPERLINK("http://ictvonline.org/taxonomyHistory.asp?taxnode_id=20172586","ICTVonline=20172586")</f>
        <v>ICTVonline=20172586</v>
      </c>
      <c r="L2471" s="3">
        <v>2470</v>
      </c>
    </row>
    <row r="2472" spans="1:12" x14ac:dyDescent="0.15">
      <c r="A2472" s="1" t="s">
        <v>908</v>
      </c>
      <c r="B2472" s="1" t="s">
        <v>1071</v>
      </c>
      <c r="D2472" s="1" t="s">
        <v>2672</v>
      </c>
      <c r="E2472" s="1" t="s">
        <v>2686</v>
      </c>
      <c r="F2472" s="3">
        <v>0</v>
      </c>
      <c r="G2472" s="8" t="s">
        <v>3817</v>
      </c>
      <c r="H2472" s="8" t="s">
        <v>5160</v>
      </c>
      <c r="I2472" s="3">
        <v>29</v>
      </c>
      <c r="J2472" s="3" t="s">
        <v>5949</v>
      </c>
      <c r="K2472" s="17" t="str">
        <f>HYPERLINK("http://ictvonline.org/taxonomyHistory.asp?taxnode_id=20172587","ICTVonline=20172587")</f>
        <v>ICTVonline=20172587</v>
      </c>
      <c r="L2472" s="3">
        <v>2471</v>
      </c>
    </row>
    <row r="2473" spans="1:12" x14ac:dyDescent="0.15">
      <c r="A2473" s="1" t="s">
        <v>908</v>
      </c>
      <c r="B2473" s="1" t="s">
        <v>1071</v>
      </c>
      <c r="D2473" s="1" t="s">
        <v>2672</v>
      </c>
      <c r="E2473" s="1" t="s">
        <v>3819</v>
      </c>
      <c r="F2473" s="3">
        <v>0</v>
      </c>
      <c r="G2473" s="8" t="s">
        <v>3817</v>
      </c>
      <c r="H2473" s="8" t="s">
        <v>5159</v>
      </c>
      <c r="I2473" s="3">
        <v>30</v>
      </c>
      <c r="J2473" s="3" t="s">
        <v>5953</v>
      </c>
      <c r="K2473" s="17" t="str">
        <f>HYPERLINK("http://ictvonline.org/taxonomyHistory.asp?taxnode_id=20172588","ICTVonline=20172588")</f>
        <v>ICTVonline=20172588</v>
      </c>
      <c r="L2473" s="3">
        <v>2472</v>
      </c>
    </row>
    <row r="2474" spans="1:12" x14ac:dyDescent="0.15">
      <c r="A2474" s="1" t="s">
        <v>908</v>
      </c>
      <c r="B2474" s="1" t="s">
        <v>1071</v>
      </c>
      <c r="D2474" s="1" t="s">
        <v>2672</v>
      </c>
      <c r="E2474" s="1" t="s">
        <v>2687</v>
      </c>
      <c r="F2474" s="3">
        <v>0</v>
      </c>
      <c r="G2474" s="8" t="s">
        <v>3817</v>
      </c>
      <c r="H2474" s="8" t="s">
        <v>5159</v>
      </c>
      <c r="I2474" s="3">
        <v>29</v>
      </c>
      <c r="J2474" s="3" t="s">
        <v>5955</v>
      </c>
      <c r="K2474" s="17" t="str">
        <f>HYPERLINK("http://ictvonline.org/taxonomyHistory.asp?taxnode_id=20172589","ICTVonline=20172589")</f>
        <v>ICTVonline=20172589</v>
      </c>
      <c r="L2474" s="3">
        <v>2473</v>
      </c>
    </row>
    <row r="2475" spans="1:12" x14ac:dyDescent="0.15">
      <c r="A2475" s="1" t="s">
        <v>908</v>
      </c>
      <c r="B2475" s="1" t="s">
        <v>1071</v>
      </c>
      <c r="D2475" s="1" t="s">
        <v>2672</v>
      </c>
      <c r="E2475" s="1" t="s">
        <v>2688</v>
      </c>
      <c r="F2475" s="3">
        <v>0</v>
      </c>
      <c r="G2475" s="8" t="s">
        <v>3817</v>
      </c>
      <c r="H2475" s="8" t="s">
        <v>5160</v>
      </c>
      <c r="I2475" s="3">
        <v>29</v>
      </c>
      <c r="J2475" s="3" t="s">
        <v>5949</v>
      </c>
      <c r="K2475" s="17" t="str">
        <f>HYPERLINK("http://ictvonline.org/taxonomyHistory.asp?taxnode_id=20172590","ICTVonline=20172590")</f>
        <v>ICTVonline=20172590</v>
      </c>
      <c r="L2475" s="3">
        <v>2474</v>
      </c>
    </row>
    <row r="2476" spans="1:12" x14ac:dyDescent="0.15">
      <c r="A2476" s="1" t="s">
        <v>908</v>
      </c>
      <c r="B2476" s="1" t="s">
        <v>1071</v>
      </c>
      <c r="D2476" s="1" t="s">
        <v>2672</v>
      </c>
      <c r="E2476" s="1" t="s">
        <v>2689</v>
      </c>
      <c r="F2476" s="3">
        <v>0</v>
      </c>
      <c r="G2476" s="8" t="s">
        <v>3817</v>
      </c>
      <c r="H2476" s="8" t="s">
        <v>5160</v>
      </c>
      <c r="I2476" s="3">
        <v>29</v>
      </c>
      <c r="J2476" s="3" t="s">
        <v>5949</v>
      </c>
      <c r="K2476" s="17" t="str">
        <f>HYPERLINK("http://ictvonline.org/taxonomyHistory.asp?taxnode_id=20172591","ICTVonline=20172591")</f>
        <v>ICTVonline=20172591</v>
      </c>
      <c r="L2476" s="3">
        <v>2475</v>
      </c>
    </row>
    <row r="2477" spans="1:12" x14ac:dyDescent="0.15">
      <c r="A2477" s="1" t="s">
        <v>908</v>
      </c>
      <c r="B2477" s="1" t="s">
        <v>1071</v>
      </c>
      <c r="D2477" s="1" t="s">
        <v>2672</v>
      </c>
      <c r="E2477" s="1" t="s">
        <v>3820</v>
      </c>
      <c r="F2477" s="3">
        <v>0</v>
      </c>
      <c r="G2477" s="8" t="s">
        <v>3817</v>
      </c>
      <c r="H2477" s="8" t="s">
        <v>5159</v>
      </c>
      <c r="I2477" s="3">
        <v>30</v>
      </c>
      <c r="J2477" s="3" t="s">
        <v>5953</v>
      </c>
      <c r="K2477" s="17" t="str">
        <f>HYPERLINK("http://ictvonline.org/taxonomyHistory.asp?taxnode_id=20172592","ICTVonline=20172592")</f>
        <v>ICTVonline=20172592</v>
      </c>
      <c r="L2477" s="3">
        <v>2476</v>
      </c>
    </row>
    <row r="2478" spans="1:12" x14ac:dyDescent="0.15">
      <c r="A2478" s="1" t="s">
        <v>908</v>
      </c>
      <c r="B2478" s="1" t="s">
        <v>1071</v>
      </c>
      <c r="D2478" s="1" t="s">
        <v>2672</v>
      </c>
      <c r="E2478" s="1" t="s">
        <v>2690</v>
      </c>
      <c r="F2478" s="3">
        <v>0</v>
      </c>
      <c r="G2478" s="8" t="s">
        <v>3817</v>
      </c>
      <c r="H2478" s="8" t="s">
        <v>5160</v>
      </c>
      <c r="I2478" s="3">
        <v>29</v>
      </c>
      <c r="J2478" s="3" t="s">
        <v>5949</v>
      </c>
      <c r="K2478" s="17" t="str">
        <f>HYPERLINK("http://ictvonline.org/taxonomyHistory.asp?taxnode_id=20172593","ICTVonline=20172593")</f>
        <v>ICTVonline=20172593</v>
      </c>
      <c r="L2478" s="3">
        <v>2477</v>
      </c>
    </row>
    <row r="2479" spans="1:12" x14ac:dyDescent="0.15">
      <c r="A2479" s="1" t="s">
        <v>908</v>
      </c>
      <c r="B2479" s="1" t="s">
        <v>1071</v>
      </c>
      <c r="D2479" s="1" t="s">
        <v>2672</v>
      </c>
      <c r="E2479" s="1" t="s">
        <v>5956</v>
      </c>
      <c r="F2479" s="3">
        <v>0</v>
      </c>
      <c r="G2479" s="8" t="s">
        <v>3817</v>
      </c>
      <c r="H2479" s="8" t="s">
        <v>5162</v>
      </c>
      <c r="I2479" s="3">
        <v>32</v>
      </c>
      <c r="J2479" s="3" t="s">
        <v>5564</v>
      </c>
      <c r="K2479" s="17" t="str">
        <f>HYPERLINK("http://ictvonline.org/taxonomyHistory.asp?taxnode_id=20172594","ICTVonline=20172594")</f>
        <v>ICTVonline=20172594</v>
      </c>
      <c r="L2479" s="3">
        <v>2478</v>
      </c>
    </row>
    <row r="2480" spans="1:12" x14ac:dyDescent="0.15">
      <c r="A2480" s="1" t="s">
        <v>908</v>
      </c>
      <c r="B2480" s="1" t="s">
        <v>1071</v>
      </c>
      <c r="D2480" s="1" t="s">
        <v>2672</v>
      </c>
      <c r="E2480" s="1" t="s">
        <v>2691</v>
      </c>
      <c r="F2480" s="3">
        <v>0</v>
      </c>
      <c r="G2480" s="8" t="s">
        <v>3817</v>
      </c>
      <c r="H2480" s="8" t="s">
        <v>5160</v>
      </c>
      <c r="I2480" s="3">
        <v>29</v>
      </c>
      <c r="J2480" s="3" t="s">
        <v>5949</v>
      </c>
      <c r="K2480" s="17" t="str">
        <f>HYPERLINK("http://ictvonline.org/taxonomyHistory.asp?taxnode_id=20172596","ICTVonline=20172596")</f>
        <v>ICTVonline=20172596</v>
      </c>
      <c r="L2480" s="3">
        <v>2479</v>
      </c>
    </row>
    <row r="2481" spans="1:12" x14ac:dyDescent="0.15">
      <c r="A2481" s="1" t="s">
        <v>908</v>
      </c>
      <c r="B2481" s="1" t="s">
        <v>1071</v>
      </c>
      <c r="D2481" s="1" t="s">
        <v>2672</v>
      </c>
      <c r="E2481" s="1" t="s">
        <v>5957</v>
      </c>
      <c r="F2481" s="3">
        <v>0</v>
      </c>
      <c r="G2481" s="8" t="s">
        <v>3817</v>
      </c>
      <c r="H2481" s="8" t="s">
        <v>5159</v>
      </c>
      <c r="I2481" s="3">
        <v>32</v>
      </c>
      <c r="J2481" s="3" t="s">
        <v>5958</v>
      </c>
      <c r="K2481" s="17" t="str">
        <f>HYPERLINK("http://ictvonline.org/taxonomyHistory.asp?taxnode_id=20175742","ICTVonline=20175742")</f>
        <v>ICTVonline=20175742</v>
      </c>
      <c r="L2481" s="3">
        <v>2480</v>
      </c>
    </row>
    <row r="2482" spans="1:12" x14ac:dyDescent="0.15">
      <c r="A2482" s="1" t="s">
        <v>908</v>
      </c>
      <c r="B2482" s="1" t="s">
        <v>1071</v>
      </c>
      <c r="D2482" s="1" t="s">
        <v>2672</v>
      </c>
      <c r="E2482" s="1" t="s">
        <v>5959</v>
      </c>
      <c r="F2482" s="3">
        <v>0</v>
      </c>
      <c r="G2482" s="8" t="s">
        <v>3817</v>
      </c>
      <c r="H2482" s="8" t="s">
        <v>5162</v>
      </c>
      <c r="I2482" s="3">
        <v>32</v>
      </c>
      <c r="J2482" s="3" t="s">
        <v>5564</v>
      </c>
      <c r="K2482" s="17" t="str">
        <f>HYPERLINK("http://ictvonline.org/taxonomyHistory.asp?taxnode_id=20172571","ICTVonline=20172571")</f>
        <v>ICTVonline=20172571</v>
      </c>
      <c r="L2482" s="3">
        <v>2481</v>
      </c>
    </row>
    <row r="2483" spans="1:12" x14ac:dyDescent="0.15">
      <c r="A2483" s="1" t="s">
        <v>908</v>
      </c>
      <c r="B2483" s="1" t="s">
        <v>1071</v>
      </c>
      <c r="D2483" s="1" t="s">
        <v>2672</v>
      </c>
      <c r="E2483" s="1" t="s">
        <v>4860</v>
      </c>
      <c r="F2483" s="3">
        <v>0</v>
      </c>
      <c r="G2483" s="8" t="s">
        <v>3817</v>
      </c>
      <c r="H2483" s="8" t="s">
        <v>5159</v>
      </c>
      <c r="I2483" s="3">
        <v>31</v>
      </c>
      <c r="J2483" s="3" t="s">
        <v>5960</v>
      </c>
      <c r="K2483" s="17" t="str">
        <f>HYPERLINK("http://ictvonline.org/taxonomyHistory.asp?taxnode_id=20172598","ICTVonline=20172598")</f>
        <v>ICTVonline=20172598</v>
      </c>
      <c r="L2483" s="3">
        <v>2482</v>
      </c>
    </row>
    <row r="2484" spans="1:12" x14ac:dyDescent="0.15">
      <c r="A2484" s="1" t="s">
        <v>908</v>
      </c>
      <c r="B2484" s="1" t="s">
        <v>1071</v>
      </c>
      <c r="D2484" s="1" t="s">
        <v>2672</v>
      </c>
      <c r="E2484" s="1" t="s">
        <v>5961</v>
      </c>
      <c r="F2484" s="3">
        <v>0</v>
      </c>
      <c r="G2484" s="8" t="s">
        <v>3817</v>
      </c>
      <c r="H2484" s="8" t="s">
        <v>5159</v>
      </c>
      <c r="I2484" s="3">
        <v>32</v>
      </c>
      <c r="J2484" s="3" t="s">
        <v>5962</v>
      </c>
      <c r="K2484" s="17" t="str">
        <f>HYPERLINK("http://ictvonline.org/taxonomyHistory.asp?taxnode_id=20175743","ICTVonline=20175743")</f>
        <v>ICTVonline=20175743</v>
      </c>
      <c r="L2484" s="3">
        <v>2483</v>
      </c>
    </row>
    <row r="2485" spans="1:12" x14ac:dyDescent="0.15">
      <c r="A2485" s="1" t="s">
        <v>908</v>
      </c>
      <c r="B2485" s="1" t="s">
        <v>1071</v>
      </c>
      <c r="D2485" s="1" t="s">
        <v>2672</v>
      </c>
      <c r="E2485" s="1" t="s">
        <v>2692</v>
      </c>
      <c r="F2485" s="3">
        <v>0</v>
      </c>
      <c r="G2485" s="8" t="s">
        <v>3817</v>
      </c>
      <c r="H2485" s="8" t="s">
        <v>5160</v>
      </c>
      <c r="I2485" s="3">
        <v>29</v>
      </c>
      <c r="J2485" s="3" t="s">
        <v>5949</v>
      </c>
      <c r="K2485" s="17" t="str">
        <f>HYPERLINK("http://ictvonline.org/taxonomyHistory.asp?taxnode_id=20172599","ICTVonline=20172599")</f>
        <v>ICTVonline=20172599</v>
      </c>
      <c r="L2485" s="3">
        <v>2484</v>
      </c>
    </row>
    <row r="2486" spans="1:12" x14ac:dyDescent="0.15">
      <c r="A2486" s="1" t="s">
        <v>908</v>
      </c>
      <c r="B2486" s="1" t="s">
        <v>1071</v>
      </c>
      <c r="D2486" s="1" t="s">
        <v>2672</v>
      </c>
      <c r="E2486" s="1" t="s">
        <v>2693</v>
      </c>
      <c r="F2486" s="3">
        <v>0</v>
      </c>
      <c r="G2486" s="8" t="s">
        <v>3817</v>
      </c>
      <c r="H2486" s="8" t="s">
        <v>5160</v>
      </c>
      <c r="I2486" s="3">
        <v>29</v>
      </c>
      <c r="J2486" s="3" t="s">
        <v>5949</v>
      </c>
      <c r="K2486" s="17" t="str">
        <f>HYPERLINK("http://ictvonline.org/taxonomyHistory.asp?taxnode_id=20172600","ICTVonline=20172600")</f>
        <v>ICTVonline=20172600</v>
      </c>
      <c r="L2486" s="3">
        <v>2485</v>
      </c>
    </row>
    <row r="2487" spans="1:12" x14ac:dyDescent="0.15">
      <c r="A2487" s="1" t="s">
        <v>908</v>
      </c>
      <c r="B2487" s="1" t="s">
        <v>1071</v>
      </c>
      <c r="D2487" s="1" t="s">
        <v>2672</v>
      </c>
      <c r="E2487" s="1" t="s">
        <v>3821</v>
      </c>
      <c r="F2487" s="3">
        <v>0</v>
      </c>
      <c r="G2487" s="8" t="s">
        <v>3817</v>
      </c>
      <c r="H2487" s="8" t="s">
        <v>5159</v>
      </c>
      <c r="I2487" s="3">
        <v>30</v>
      </c>
      <c r="J2487" s="3" t="s">
        <v>5953</v>
      </c>
      <c r="K2487" s="17" t="str">
        <f>HYPERLINK("http://ictvonline.org/taxonomyHistory.asp?taxnode_id=20172601","ICTVonline=20172601")</f>
        <v>ICTVonline=20172601</v>
      </c>
      <c r="L2487" s="3">
        <v>2486</v>
      </c>
    </row>
    <row r="2488" spans="1:12" x14ac:dyDescent="0.15">
      <c r="A2488" s="1" t="s">
        <v>908</v>
      </c>
      <c r="B2488" s="1" t="s">
        <v>1071</v>
      </c>
      <c r="D2488" s="1" t="s">
        <v>2672</v>
      </c>
      <c r="E2488" s="1" t="s">
        <v>2694</v>
      </c>
      <c r="F2488" s="3">
        <v>0</v>
      </c>
      <c r="G2488" s="8" t="s">
        <v>3817</v>
      </c>
      <c r="H2488" s="8" t="s">
        <v>5160</v>
      </c>
      <c r="I2488" s="3">
        <v>29</v>
      </c>
      <c r="J2488" s="3" t="s">
        <v>5949</v>
      </c>
      <c r="K2488" s="17" t="str">
        <f>HYPERLINK("http://ictvonline.org/taxonomyHistory.asp?taxnode_id=20172602","ICTVonline=20172602")</f>
        <v>ICTVonline=20172602</v>
      </c>
      <c r="L2488" s="3">
        <v>2487</v>
      </c>
    </row>
    <row r="2489" spans="1:12" x14ac:dyDescent="0.15">
      <c r="A2489" s="1" t="s">
        <v>908</v>
      </c>
      <c r="B2489" s="1" t="s">
        <v>1071</v>
      </c>
      <c r="D2489" s="1" t="s">
        <v>2695</v>
      </c>
      <c r="E2489" s="1" t="s">
        <v>5963</v>
      </c>
      <c r="F2489" s="3">
        <v>0</v>
      </c>
      <c r="G2489" s="8" t="s">
        <v>3817</v>
      </c>
      <c r="H2489" s="8" t="s">
        <v>5162</v>
      </c>
      <c r="I2489" s="3">
        <v>32</v>
      </c>
      <c r="J2489" s="3" t="s">
        <v>5964</v>
      </c>
      <c r="K2489" s="17" t="str">
        <f>HYPERLINK("http://ictvonline.org/taxonomyHistory.asp?taxnode_id=20172605","ICTVonline=20172605")</f>
        <v>ICTVonline=20172605</v>
      </c>
      <c r="L2489" s="3">
        <v>2488</v>
      </c>
    </row>
    <row r="2490" spans="1:12" x14ac:dyDescent="0.15">
      <c r="A2490" s="1" t="s">
        <v>908</v>
      </c>
      <c r="B2490" s="1" t="s">
        <v>1071</v>
      </c>
      <c r="D2490" s="1" t="s">
        <v>2695</v>
      </c>
      <c r="E2490" s="1" t="s">
        <v>5965</v>
      </c>
      <c r="F2490" s="3">
        <v>0</v>
      </c>
      <c r="G2490" s="8" t="s">
        <v>3817</v>
      </c>
      <c r="H2490" s="8" t="s">
        <v>5159</v>
      </c>
      <c r="I2490" s="3">
        <v>32</v>
      </c>
      <c r="J2490" s="3" t="s">
        <v>5964</v>
      </c>
      <c r="K2490" s="17" t="str">
        <f>HYPERLINK("http://ictvonline.org/taxonomyHistory.asp?taxnode_id=20175744","ICTVonline=20175744")</f>
        <v>ICTVonline=20175744</v>
      </c>
      <c r="L2490" s="3">
        <v>2489</v>
      </c>
    </row>
    <row r="2491" spans="1:12" x14ac:dyDescent="0.15">
      <c r="A2491" s="1" t="s">
        <v>908</v>
      </c>
      <c r="B2491" s="1" t="s">
        <v>1071</v>
      </c>
      <c r="D2491" s="1" t="s">
        <v>2695</v>
      </c>
      <c r="E2491" s="1" t="s">
        <v>5966</v>
      </c>
      <c r="F2491" s="3">
        <v>1</v>
      </c>
      <c r="G2491" s="8" t="s">
        <v>3817</v>
      </c>
      <c r="H2491" s="8" t="s">
        <v>5162</v>
      </c>
      <c r="I2491" s="3">
        <v>32</v>
      </c>
      <c r="J2491" s="3" t="s">
        <v>5964</v>
      </c>
      <c r="K2491" s="17" t="str">
        <f>HYPERLINK("http://ictvonline.org/taxonomyHistory.asp?taxnode_id=20172604","ICTVonline=20172604")</f>
        <v>ICTVonline=20172604</v>
      </c>
      <c r="L2491" s="3">
        <v>2490</v>
      </c>
    </row>
    <row r="2492" spans="1:12" x14ac:dyDescent="0.15">
      <c r="A2492" s="1" t="s">
        <v>908</v>
      </c>
      <c r="B2492" s="1" t="s">
        <v>1071</v>
      </c>
      <c r="D2492" s="1" t="s">
        <v>2695</v>
      </c>
      <c r="E2492" s="1" t="s">
        <v>5967</v>
      </c>
      <c r="F2492" s="3">
        <v>0</v>
      </c>
      <c r="G2492" s="8" t="s">
        <v>3817</v>
      </c>
      <c r="H2492" s="8" t="s">
        <v>5159</v>
      </c>
      <c r="I2492" s="3">
        <v>32</v>
      </c>
      <c r="J2492" s="3" t="s">
        <v>5964</v>
      </c>
      <c r="K2492" s="17" t="str">
        <f>HYPERLINK("http://ictvonline.org/taxonomyHistory.asp?taxnode_id=20175745","ICTVonline=20175745")</f>
        <v>ICTVonline=20175745</v>
      </c>
      <c r="L2492" s="3">
        <v>2491</v>
      </c>
    </row>
    <row r="2493" spans="1:12" x14ac:dyDescent="0.15">
      <c r="A2493" s="1" t="s">
        <v>908</v>
      </c>
      <c r="B2493" s="1" t="s">
        <v>1071</v>
      </c>
      <c r="D2493" s="1" t="s">
        <v>2695</v>
      </c>
      <c r="E2493" s="1" t="s">
        <v>5968</v>
      </c>
      <c r="F2493" s="3">
        <v>0</v>
      </c>
      <c r="G2493" s="8" t="s">
        <v>3817</v>
      </c>
      <c r="H2493" s="8" t="s">
        <v>5162</v>
      </c>
      <c r="I2493" s="3">
        <v>32</v>
      </c>
      <c r="J2493" s="3" t="s">
        <v>5964</v>
      </c>
      <c r="K2493" s="17" t="str">
        <f>HYPERLINK("http://ictvonline.org/taxonomyHistory.asp?taxnode_id=20172606","ICTVonline=20172606")</f>
        <v>ICTVonline=20172606</v>
      </c>
      <c r="L2493" s="3">
        <v>2492</v>
      </c>
    </row>
    <row r="2494" spans="1:12" x14ac:dyDescent="0.15">
      <c r="A2494" s="1" t="s">
        <v>908</v>
      </c>
      <c r="B2494" s="1" t="s">
        <v>1820</v>
      </c>
      <c r="D2494" s="1" t="s">
        <v>1821</v>
      </c>
      <c r="E2494" s="1" t="s">
        <v>664</v>
      </c>
      <c r="F2494" s="3">
        <v>0</v>
      </c>
      <c r="G2494" s="8" t="s">
        <v>2771</v>
      </c>
      <c r="H2494" s="8" t="s">
        <v>5159</v>
      </c>
      <c r="I2494" s="3">
        <v>18</v>
      </c>
      <c r="J2494" s="3" t="s">
        <v>5597</v>
      </c>
      <c r="K2494" s="17" t="str">
        <f>HYPERLINK("http://ictvonline.org/taxonomyHistory.asp?taxnode_id=20172610","ICTVonline=20172610")</f>
        <v>ICTVonline=20172610</v>
      </c>
      <c r="L2494" s="3">
        <v>2493</v>
      </c>
    </row>
    <row r="2495" spans="1:12" x14ac:dyDescent="0.15">
      <c r="A2495" s="1" t="s">
        <v>908</v>
      </c>
      <c r="B2495" s="1" t="s">
        <v>1820</v>
      </c>
      <c r="D2495" s="1" t="s">
        <v>1821</v>
      </c>
      <c r="E2495" s="1" t="s">
        <v>665</v>
      </c>
      <c r="F2495" s="3">
        <v>1</v>
      </c>
      <c r="G2495" s="8" t="s">
        <v>2771</v>
      </c>
      <c r="H2495" s="8" t="s">
        <v>5162</v>
      </c>
      <c r="I2495" s="3">
        <v>18</v>
      </c>
      <c r="J2495" s="3" t="s">
        <v>5597</v>
      </c>
      <c r="K2495" s="17" t="str">
        <f>HYPERLINK("http://ictvonline.org/taxonomyHistory.asp?taxnode_id=20172611","ICTVonline=20172611")</f>
        <v>ICTVonline=20172611</v>
      </c>
      <c r="L2495" s="3">
        <v>2494</v>
      </c>
    </row>
    <row r="2496" spans="1:12" x14ac:dyDescent="0.15">
      <c r="A2496" s="1" t="s">
        <v>908</v>
      </c>
      <c r="B2496" s="1" t="s">
        <v>1820</v>
      </c>
      <c r="D2496" s="1" t="s">
        <v>1821</v>
      </c>
      <c r="E2496" s="1" t="s">
        <v>1368</v>
      </c>
      <c r="F2496" s="3">
        <v>0</v>
      </c>
      <c r="G2496" s="8" t="s">
        <v>2771</v>
      </c>
      <c r="H2496" s="8" t="s">
        <v>5162</v>
      </c>
      <c r="I2496" s="3">
        <v>18</v>
      </c>
      <c r="J2496" s="3" t="s">
        <v>5597</v>
      </c>
      <c r="K2496" s="17" t="str">
        <f>HYPERLINK("http://ictvonline.org/taxonomyHistory.asp?taxnode_id=20172612","ICTVonline=20172612")</f>
        <v>ICTVonline=20172612</v>
      </c>
      <c r="L2496" s="3">
        <v>2495</v>
      </c>
    </row>
    <row r="2497" spans="1:12" x14ac:dyDescent="0.15">
      <c r="A2497" s="1" t="s">
        <v>908</v>
      </c>
      <c r="B2497" s="1" t="s">
        <v>1820</v>
      </c>
      <c r="D2497" s="1" t="s">
        <v>3822</v>
      </c>
      <c r="E2497" s="1" t="s">
        <v>5217</v>
      </c>
      <c r="F2497" s="3">
        <v>1</v>
      </c>
      <c r="G2497" s="8" t="s">
        <v>2771</v>
      </c>
      <c r="H2497" s="8" t="s">
        <v>5162</v>
      </c>
      <c r="I2497" s="3">
        <v>31</v>
      </c>
      <c r="J2497" s="3" t="s">
        <v>5969</v>
      </c>
      <c r="K2497" s="17" t="str">
        <f>HYPERLINK("http://ictvonline.org/taxonomyHistory.asp?taxnode_id=20172614","ICTVonline=20172614")</f>
        <v>ICTVonline=20172614</v>
      </c>
      <c r="L2497" s="3">
        <v>2496</v>
      </c>
    </row>
    <row r="2498" spans="1:12" x14ac:dyDescent="0.15">
      <c r="A2498" s="1" t="s">
        <v>908</v>
      </c>
      <c r="B2498" s="1" t="s">
        <v>668</v>
      </c>
      <c r="D2498" s="1" t="s">
        <v>669</v>
      </c>
      <c r="E2498" s="1" t="s">
        <v>670</v>
      </c>
      <c r="F2498" s="3">
        <v>1</v>
      </c>
      <c r="G2498" s="8" t="s">
        <v>2771</v>
      </c>
      <c r="H2498" s="8" t="s">
        <v>5161</v>
      </c>
      <c r="I2498" s="3">
        <v>17</v>
      </c>
      <c r="J2498" s="3" t="s">
        <v>5970</v>
      </c>
      <c r="K2498" s="17" t="str">
        <f>HYPERLINK("http://ictvonline.org/taxonomyHistory.asp?taxnode_id=20172618","ICTVonline=20172618")</f>
        <v>ICTVonline=20172618</v>
      </c>
      <c r="L2498" s="3">
        <v>2497</v>
      </c>
    </row>
    <row r="2499" spans="1:12" x14ac:dyDescent="0.15">
      <c r="A2499" s="1" t="s">
        <v>908</v>
      </c>
      <c r="B2499" s="1" t="s">
        <v>5971</v>
      </c>
      <c r="D2499" s="1" t="s">
        <v>1638</v>
      </c>
      <c r="E2499" s="1" t="s">
        <v>5972</v>
      </c>
      <c r="F2499" s="3">
        <v>0</v>
      </c>
      <c r="G2499" s="8" t="s">
        <v>2772</v>
      </c>
      <c r="H2499" s="8" t="s">
        <v>5160</v>
      </c>
      <c r="I2499" s="3">
        <v>32</v>
      </c>
      <c r="J2499" s="3" t="s">
        <v>5973</v>
      </c>
      <c r="K2499" s="17" t="str">
        <f>HYPERLINK("http://ictvonline.org/taxonomyHistory.asp?taxnode_id=20173946","ICTVonline=20173946")</f>
        <v>ICTVonline=20173946</v>
      </c>
      <c r="L2499" s="3">
        <v>2498</v>
      </c>
    </row>
    <row r="2500" spans="1:12" x14ac:dyDescent="0.15">
      <c r="A2500" s="1" t="s">
        <v>908</v>
      </c>
      <c r="B2500" s="1" t="s">
        <v>5971</v>
      </c>
      <c r="D2500" s="1" t="s">
        <v>1638</v>
      </c>
      <c r="E2500" s="1" t="s">
        <v>5974</v>
      </c>
      <c r="F2500" s="3">
        <v>1</v>
      </c>
      <c r="G2500" s="8" t="s">
        <v>2772</v>
      </c>
      <c r="H2500" s="8" t="s">
        <v>5160</v>
      </c>
      <c r="I2500" s="3">
        <v>32</v>
      </c>
      <c r="J2500" s="3" t="s">
        <v>5973</v>
      </c>
      <c r="K2500" s="17" t="str">
        <f>HYPERLINK("http://ictvonline.org/taxonomyHistory.asp?taxnode_id=20173947","ICTVonline=20173947")</f>
        <v>ICTVonline=20173947</v>
      </c>
      <c r="L2500" s="3">
        <v>2499</v>
      </c>
    </row>
    <row r="2501" spans="1:12" x14ac:dyDescent="0.15">
      <c r="A2501" s="1" t="s">
        <v>908</v>
      </c>
      <c r="B2501" s="1" t="s">
        <v>5971</v>
      </c>
      <c r="D2501" s="1" t="s">
        <v>1638</v>
      </c>
      <c r="E2501" s="1" t="s">
        <v>5975</v>
      </c>
      <c r="F2501" s="3">
        <v>0</v>
      </c>
      <c r="G2501" s="8" t="s">
        <v>2772</v>
      </c>
      <c r="H2501" s="8" t="s">
        <v>5160</v>
      </c>
      <c r="I2501" s="3">
        <v>32</v>
      </c>
      <c r="J2501" s="3" t="s">
        <v>5973</v>
      </c>
      <c r="K2501" s="17" t="str">
        <f>HYPERLINK("http://ictvonline.org/taxonomyHistory.asp?taxnode_id=20173948","ICTVonline=20173948")</f>
        <v>ICTVonline=20173948</v>
      </c>
      <c r="L2501" s="3">
        <v>2500</v>
      </c>
    </row>
    <row r="2502" spans="1:12" x14ac:dyDescent="0.15">
      <c r="A2502" s="1" t="s">
        <v>908</v>
      </c>
      <c r="B2502" s="1" t="s">
        <v>5971</v>
      </c>
      <c r="D2502" s="1" t="s">
        <v>1638</v>
      </c>
      <c r="E2502" s="1" t="s">
        <v>5976</v>
      </c>
      <c r="F2502" s="3">
        <v>0</v>
      </c>
      <c r="G2502" s="8" t="s">
        <v>2772</v>
      </c>
      <c r="H2502" s="8" t="s">
        <v>5160</v>
      </c>
      <c r="I2502" s="3">
        <v>32</v>
      </c>
      <c r="J2502" s="3" t="s">
        <v>5973</v>
      </c>
      <c r="K2502" s="17" t="str">
        <f>HYPERLINK("http://ictvonline.org/taxonomyHistory.asp?taxnode_id=20173949","ICTVonline=20173949")</f>
        <v>ICTVonline=20173949</v>
      </c>
      <c r="L2502" s="3">
        <v>2501</v>
      </c>
    </row>
    <row r="2503" spans="1:12" x14ac:dyDescent="0.15">
      <c r="A2503" s="1" t="s">
        <v>908</v>
      </c>
      <c r="B2503" s="1" t="s">
        <v>5971</v>
      </c>
      <c r="D2503" s="1" t="s">
        <v>1638</v>
      </c>
      <c r="E2503" s="1" t="s">
        <v>5977</v>
      </c>
      <c r="F2503" s="3">
        <v>0</v>
      </c>
      <c r="G2503" s="8" t="s">
        <v>2772</v>
      </c>
      <c r="H2503" s="8" t="s">
        <v>5160</v>
      </c>
      <c r="I2503" s="3">
        <v>32</v>
      </c>
      <c r="J2503" s="3" t="s">
        <v>5973</v>
      </c>
      <c r="K2503" s="17" t="str">
        <f>HYPERLINK("http://ictvonline.org/taxonomyHistory.asp?taxnode_id=20173950","ICTVonline=20173950")</f>
        <v>ICTVonline=20173950</v>
      </c>
      <c r="L2503" s="3">
        <v>2502</v>
      </c>
    </row>
    <row r="2504" spans="1:12" x14ac:dyDescent="0.15">
      <c r="A2504" s="1" t="s">
        <v>908</v>
      </c>
      <c r="B2504" s="1" t="s">
        <v>5971</v>
      </c>
      <c r="D2504" s="1" t="s">
        <v>1638</v>
      </c>
      <c r="E2504" s="1" t="s">
        <v>5978</v>
      </c>
      <c r="F2504" s="3">
        <v>0</v>
      </c>
      <c r="G2504" s="8" t="s">
        <v>2772</v>
      </c>
      <c r="H2504" s="8" t="s">
        <v>5160</v>
      </c>
      <c r="I2504" s="3">
        <v>32</v>
      </c>
      <c r="J2504" s="3" t="s">
        <v>5973</v>
      </c>
      <c r="K2504" s="17" t="str">
        <f>HYPERLINK("http://ictvonline.org/taxonomyHistory.asp?taxnode_id=20173951","ICTVonline=20173951")</f>
        <v>ICTVonline=20173951</v>
      </c>
      <c r="L2504" s="3">
        <v>2503</v>
      </c>
    </row>
    <row r="2505" spans="1:12" x14ac:dyDescent="0.15">
      <c r="A2505" s="1" t="s">
        <v>908</v>
      </c>
      <c r="B2505" s="1" t="s">
        <v>5971</v>
      </c>
      <c r="D2505" s="1" t="s">
        <v>1638</v>
      </c>
      <c r="E2505" s="1" t="s">
        <v>5979</v>
      </c>
      <c r="F2505" s="3">
        <v>0</v>
      </c>
      <c r="G2505" s="8" t="s">
        <v>2772</v>
      </c>
      <c r="H2505" s="8" t="s">
        <v>5160</v>
      </c>
      <c r="I2505" s="3">
        <v>32</v>
      </c>
      <c r="J2505" s="3" t="s">
        <v>5973</v>
      </c>
      <c r="K2505" s="17" t="str">
        <f>HYPERLINK("http://ictvonline.org/taxonomyHistory.asp?taxnode_id=20173952","ICTVonline=20173952")</f>
        <v>ICTVonline=20173952</v>
      </c>
      <c r="L2505" s="3">
        <v>2504</v>
      </c>
    </row>
    <row r="2506" spans="1:12" x14ac:dyDescent="0.15">
      <c r="A2506" s="1" t="s">
        <v>908</v>
      </c>
      <c r="B2506" s="1" t="s">
        <v>671</v>
      </c>
      <c r="D2506" s="1" t="s">
        <v>672</v>
      </c>
      <c r="E2506" s="1" t="s">
        <v>45</v>
      </c>
      <c r="F2506" s="3">
        <v>1</v>
      </c>
      <c r="G2506" s="8" t="s">
        <v>2773</v>
      </c>
      <c r="H2506" s="8" t="s">
        <v>5162</v>
      </c>
      <c r="I2506" s="3">
        <v>26</v>
      </c>
      <c r="J2506" s="3" t="s">
        <v>5980</v>
      </c>
      <c r="K2506" s="17" t="str">
        <f>HYPERLINK("http://ictvonline.org/taxonomyHistory.asp?taxnode_id=20172622","ICTVonline=20172622")</f>
        <v>ICTVonline=20172622</v>
      </c>
      <c r="L2506" s="3">
        <v>2505</v>
      </c>
    </row>
    <row r="2507" spans="1:12" x14ac:dyDescent="0.15">
      <c r="A2507" s="1" t="s">
        <v>908</v>
      </c>
      <c r="B2507" s="1" t="s">
        <v>671</v>
      </c>
      <c r="D2507" s="1" t="s">
        <v>672</v>
      </c>
      <c r="E2507" s="1" t="s">
        <v>46</v>
      </c>
      <c r="F2507" s="3">
        <v>0</v>
      </c>
      <c r="G2507" s="8" t="s">
        <v>2773</v>
      </c>
      <c r="H2507" s="8" t="s">
        <v>5162</v>
      </c>
      <c r="I2507" s="3">
        <v>26</v>
      </c>
      <c r="J2507" s="3" t="s">
        <v>5980</v>
      </c>
      <c r="K2507" s="17" t="str">
        <f>HYPERLINK("http://ictvonline.org/taxonomyHistory.asp?taxnode_id=20172623","ICTVonline=20172623")</f>
        <v>ICTVonline=20172623</v>
      </c>
      <c r="L2507" s="3">
        <v>2506</v>
      </c>
    </row>
    <row r="2508" spans="1:12" x14ac:dyDescent="0.15">
      <c r="A2508" s="1" t="s">
        <v>908</v>
      </c>
      <c r="B2508" s="1" t="s">
        <v>671</v>
      </c>
      <c r="D2508" s="1" t="s">
        <v>672</v>
      </c>
      <c r="E2508" s="1" t="s">
        <v>47</v>
      </c>
      <c r="F2508" s="3">
        <v>0</v>
      </c>
      <c r="G2508" s="8" t="s">
        <v>2773</v>
      </c>
      <c r="H2508" s="8" t="s">
        <v>5162</v>
      </c>
      <c r="I2508" s="3">
        <v>26</v>
      </c>
      <c r="J2508" s="3" t="s">
        <v>5980</v>
      </c>
      <c r="K2508" s="17" t="str">
        <f>HYPERLINK("http://ictvonline.org/taxonomyHistory.asp?taxnode_id=20172624","ICTVonline=20172624")</f>
        <v>ICTVonline=20172624</v>
      </c>
      <c r="L2508" s="3">
        <v>2507</v>
      </c>
    </row>
    <row r="2509" spans="1:12" x14ac:dyDescent="0.15">
      <c r="A2509" s="1" t="s">
        <v>908</v>
      </c>
      <c r="B2509" s="1" t="s">
        <v>671</v>
      </c>
      <c r="D2509" s="1" t="s">
        <v>580</v>
      </c>
      <c r="E2509" s="1" t="s">
        <v>48</v>
      </c>
      <c r="F2509" s="3">
        <v>1</v>
      </c>
      <c r="G2509" s="8" t="s">
        <v>2773</v>
      </c>
      <c r="H2509" s="8" t="s">
        <v>5162</v>
      </c>
      <c r="I2509" s="3">
        <v>26</v>
      </c>
      <c r="J2509" s="3" t="s">
        <v>5981</v>
      </c>
      <c r="K2509" s="17" t="str">
        <f>HYPERLINK("http://ictvonline.org/taxonomyHistory.asp?taxnode_id=20172626","ICTVonline=20172626")</f>
        <v>ICTVonline=20172626</v>
      </c>
      <c r="L2509" s="3">
        <v>2508</v>
      </c>
    </row>
    <row r="2510" spans="1:12" x14ac:dyDescent="0.15">
      <c r="A2510" s="1" t="s">
        <v>908</v>
      </c>
      <c r="B2510" s="1" t="s">
        <v>671</v>
      </c>
      <c r="D2510" s="1" t="s">
        <v>580</v>
      </c>
      <c r="E2510" s="1" t="s">
        <v>59</v>
      </c>
      <c r="F2510" s="3">
        <v>0</v>
      </c>
      <c r="G2510" s="8" t="s">
        <v>2773</v>
      </c>
      <c r="H2510" s="8" t="s">
        <v>5162</v>
      </c>
      <c r="I2510" s="3">
        <v>26</v>
      </c>
      <c r="J2510" s="3" t="s">
        <v>5981</v>
      </c>
      <c r="K2510" s="17" t="str">
        <f>HYPERLINK("http://ictvonline.org/taxonomyHistory.asp?taxnode_id=20172627","ICTVonline=20172627")</f>
        <v>ICTVonline=20172627</v>
      </c>
      <c r="L2510" s="3">
        <v>2509</v>
      </c>
    </row>
    <row r="2511" spans="1:12" x14ac:dyDescent="0.15">
      <c r="A2511" s="1" t="s">
        <v>908</v>
      </c>
      <c r="B2511" s="1" t="s">
        <v>671</v>
      </c>
      <c r="D2511" s="1" t="s">
        <v>580</v>
      </c>
      <c r="E2511" s="1" t="s">
        <v>60</v>
      </c>
      <c r="F2511" s="3">
        <v>0</v>
      </c>
      <c r="G2511" s="8" t="s">
        <v>2773</v>
      </c>
      <c r="H2511" s="8" t="s">
        <v>5162</v>
      </c>
      <c r="I2511" s="3">
        <v>26</v>
      </c>
      <c r="J2511" s="3" t="s">
        <v>5981</v>
      </c>
      <c r="K2511" s="17" t="str">
        <f>HYPERLINK("http://ictvonline.org/taxonomyHistory.asp?taxnode_id=20172628","ICTVonline=20172628")</f>
        <v>ICTVonline=20172628</v>
      </c>
      <c r="L2511" s="3">
        <v>2510</v>
      </c>
    </row>
    <row r="2512" spans="1:12" x14ac:dyDescent="0.15">
      <c r="A2512" s="1" t="s">
        <v>908</v>
      </c>
      <c r="B2512" s="1" t="s">
        <v>671</v>
      </c>
      <c r="D2512" s="1" t="s">
        <v>580</v>
      </c>
      <c r="E2512" s="1" t="s">
        <v>61</v>
      </c>
      <c r="F2512" s="3">
        <v>0</v>
      </c>
      <c r="G2512" s="8" t="s">
        <v>2773</v>
      </c>
      <c r="H2512" s="8" t="s">
        <v>5159</v>
      </c>
      <c r="I2512" s="3">
        <v>26</v>
      </c>
      <c r="J2512" s="3" t="s">
        <v>5981</v>
      </c>
      <c r="K2512" s="17" t="str">
        <f>HYPERLINK("http://ictvonline.org/taxonomyHistory.asp?taxnode_id=20172629","ICTVonline=20172629")</f>
        <v>ICTVonline=20172629</v>
      </c>
      <c r="L2512" s="3">
        <v>2511</v>
      </c>
    </row>
    <row r="2513" spans="1:12" x14ac:dyDescent="0.15">
      <c r="A2513" s="1" t="s">
        <v>908</v>
      </c>
      <c r="B2513" s="1" t="s">
        <v>671</v>
      </c>
      <c r="D2513" s="1" t="s">
        <v>580</v>
      </c>
      <c r="E2513" s="1" t="s">
        <v>62</v>
      </c>
      <c r="F2513" s="3">
        <v>0</v>
      </c>
      <c r="G2513" s="8" t="s">
        <v>2773</v>
      </c>
      <c r="H2513" s="8" t="s">
        <v>5159</v>
      </c>
      <c r="I2513" s="3">
        <v>26</v>
      </c>
      <c r="J2513" s="3" t="s">
        <v>5981</v>
      </c>
      <c r="K2513" s="17" t="str">
        <f>HYPERLINK("http://ictvonline.org/taxonomyHistory.asp?taxnode_id=20172630","ICTVonline=20172630")</f>
        <v>ICTVonline=20172630</v>
      </c>
      <c r="L2513" s="3">
        <v>2512</v>
      </c>
    </row>
    <row r="2514" spans="1:12" x14ac:dyDescent="0.15">
      <c r="A2514" s="1" t="s">
        <v>908</v>
      </c>
      <c r="B2514" s="1" t="s">
        <v>671</v>
      </c>
      <c r="D2514" s="1" t="s">
        <v>580</v>
      </c>
      <c r="E2514" s="1" t="s">
        <v>63</v>
      </c>
      <c r="F2514" s="3">
        <v>0</v>
      </c>
      <c r="G2514" s="8" t="s">
        <v>2773</v>
      </c>
      <c r="H2514" s="8" t="s">
        <v>5159</v>
      </c>
      <c r="I2514" s="3">
        <v>26</v>
      </c>
      <c r="J2514" s="3" t="s">
        <v>5981</v>
      </c>
      <c r="K2514" s="17" t="str">
        <f>HYPERLINK("http://ictvonline.org/taxonomyHistory.asp?taxnode_id=20172631","ICTVonline=20172631")</f>
        <v>ICTVonline=20172631</v>
      </c>
      <c r="L2514" s="3">
        <v>2513</v>
      </c>
    </row>
    <row r="2515" spans="1:12" x14ac:dyDescent="0.15">
      <c r="A2515" s="1" t="s">
        <v>908</v>
      </c>
      <c r="B2515" s="1" t="s">
        <v>671</v>
      </c>
      <c r="D2515" s="1" t="s">
        <v>580</v>
      </c>
      <c r="E2515" s="1" t="s">
        <v>64</v>
      </c>
      <c r="F2515" s="3">
        <v>0</v>
      </c>
      <c r="G2515" s="8" t="s">
        <v>2773</v>
      </c>
      <c r="H2515" s="8" t="s">
        <v>5159</v>
      </c>
      <c r="I2515" s="3">
        <v>26</v>
      </c>
      <c r="J2515" s="3" t="s">
        <v>5981</v>
      </c>
      <c r="K2515" s="17" t="str">
        <f>HYPERLINK("http://ictvonline.org/taxonomyHistory.asp?taxnode_id=20172632","ICTVonline=20172632")</f>
        <v>ICTVonline=20172632</v>
      </c>
      <c r="L2515" s="3">
        <v>2514</v>
      </c>
    </row>
    <row r="2516" spans="1:12" x14ac:dyDescent="0.15">
      <c r="A2516" s="1" t="s">
        <v>908</v>
      </c>
      <c r="B2516" s="1" t="s">
        <v>671</v>
      </c>
      <c r="D2516" s="1" t="s">
        <v>580</v>
      </c>
      <c r="E2516" s="1" t="s">
        <v>65</v>
      </c>
      <c r="F2516" s="3">
        <v>0</v>
      </c>
      <c r="G2516" s="8" t="s">
        <v>2773</v>
      </c>
      <c r="H2516" s="8" t="s">
        <v>5159</v>
      </c>
      <c r="I2516" s="3">
        <v>26</v>
      </c>
      <c r="J2516" s="3" t="s">
        <v>5981</v>
      </c>
      <c r="K2516" s="17" t="str">
        <f>HYPERLINK("http://ictvonline.org/taxonomyHistory.asp?taxnode_id=20172633","ICTVonline=20172633")</f>
        <v>ICTVonline=20172633</v>
      </c>
      <c r="L2516" s="3">
        <v>2515</v>
      </c>
    </row>
    <row r="2517" spans="1:12" x14ac:dyDescent="0.15">
      <c r="A2517" s="1" t="s">
        <v>908</v>
      </c>
      <c r="B2517" s="1" t="s">
        <v>671</v>
      </c>
      <c r="D2517" s="1" t="s">
        <v>580</v>
      </c>
      <c r="E2517" s="1" t="s">
        <v>66</v>
      </c>
      <c r="F2517" s="3">
        <v>0</v>
      </c>
      <c r="G2517" s="8" t="s">
        <v>2773</v>
      </c>
      <c r="H2517" s="8" t="s">
        <v>5159</v>
      </c>
      <c r="I2517" s="3">
        <v>26</v>
      </c>
      <c r="J2517" s="3" t="s">
        <v>5981</v>
      </c>
      <c r="K2517" s="17" t="str">
        <f>HYPERLINK("http://ictvonline.org/taxonomyHistory.asp?taxnode_id=20172634","ICTVonline=20172634")</f>
        <v>ICTVonline=20172634</v>
      </c>
      <c r="L2517" s="3">
        <v>2516</v>
      </c>
    </row>
    <row r="2518" spans="1:12" x14ac:dyDescent="0.15">
      <c r="A2518" s="1" t="s">
        <v>908</v>
      </c>
      <c r="B2518" s="1" t="s">
        <v>671</v>
      </c>
      <c r="D2518" s="1" t="s">
        <v>580</v>
      </c>
      <c r="E2518" s="1" t="s">
        <v>49</v>
      </c>
      <c r="F2518" s="3">
        <v>0</v>
      </c>
      <c r="G2518" s="8" t="s">
        <v>2773</v>
      </c>
      <c r="H2518" s="8" t="s">
        <v>5162</v>
      </c>
      <c r="I2518" s="3">
        <v>26</v>
      </c>
      <c r="J2518" s="3" t="s">
        <v>5981</v>
      </c>
      <c r="K2518" s="17" t="str">
        <f>HYPERLINK("http://ictvonline.org/taxonomyHistory.asp?taxnode_id=20172635","ICTVonline=20172635")</f>
        <v>ICTVonline=20172635</v>
      </c>
      <c r="L2518" s="3">
        <v>2517</v>
      </c>
    </row>
    <row r="2519" spans="1:12" x14ac:dyDescent="0.15">
      <c r="A2519" s="1" t="s">
        <v>908</v>
      </c>
      <c r="B2519" s="1" t="s">
        <v>671</v>
      </c>
      <c r="D2519" s="1" t="s">
        <v>580</v>
      </c>
      <c r="E2519" s="1" t="s">
        <v>50</v>
      </c>
      <c r="F2519" s="3">
        <v>0</v>
      </c>
      <c r="G2519" s="8" t="s">
        <v>2773</v>
      </c>
      <c r="H2519" s="8" t="s">
        <v>5159</v>
      </c>
      <c r="I2519" s="3">
        <v>26</v>
      </c>
      <c r="J2519" s="3" t="s">
        <v>5981</v>
      </c>
      <c r="K2519" s="17" t="str">
        <f>HYPERLINK("http://ictvonline.org/taxonomyHistory.asp?taxnode_id=20172636","ICTVonline=20172636")</f>
        <v>ICTVonline=20172636</v>
      </c>
      <c r="L2519" s="3">
        <v>2518</v>
      </c>
    </row>
    <row r="2520" spans="1:12" x14ac:dyDescent="0.15">
      <c r="A2520" s="1" t="s">
        <v>908</v>
      </c>
      <c r="B2520" s="1" t="s">
        <v>671</v>
      </c>
      <c r="D2520" s="1" t="s">
        <v>580</v>
      </c>
      <c r="E2520" s="1" t="s">
        <v>51</v>
      </c>
      <c r="F2520" s="3">
        <v>0</v>
      </c>
      <c r="G2520" s="8" t="s">
        <v>2773</v>
      </c>
      <c r="H2520" s="8" t="s">
        <v>5159</v>
      </c>
      <c r="I2520" s="3">
        <v>26</v>
      </c>
      <c r="J2520" s="3" t="s">
        <v>5981</v>
      </c>
      <c r="K2520" s="17" t="str">
        <f>HYPERLINK("http://ictvonline.org/taxonomyHistory.asp?taxnode_id=20172637","ICTVonline=20172637")</f>
        <v>ICTVonline=20172637</v>
      </c>
      <c r="L2520" s="3">
        <v>2519</v>
      </c>
    </row>
    <row r="2521" spans="1:12" x14ac:dyDescent="0.15">
      <c r="A2521" s="1" t="s">
        <v>908</v>
      </c>
      <c r="B2521" s="1" t="s">
        <v>671</v>
      </c>
      <c r="D2521" s="1" t="s">
        <v>580</v>
      </c>
      <c r="E2521" s="1" t="s">
        <v>52</v>
      </c>
      <c r="F2521" s="3">
        <v>0</v>
      </c>
      <c r="G2521" s="8" t="s">
        <v>2773</v>
      </c>
      <c r="H2521" s="8" t="s">
        <v>5162</v>
      </c>
      <c r="I2521" s="3">
        <v>26</v>
      </c>
      <c r="J2521" s="3" t="s">
        <v>5981</v>
      </c>
      <c r="K2521" s="17" t="str">
        <f>HYPERLINK("http://ictvonline.org/taxonomyHistory.asp?taxnode_id=20172638","ICTVonline=20172638")</f>
        <v>ICTVonline=20172638</v>
      </c>
      <c r="L2521" s="3">
        <v>2520</v>
      </c>
    </row>
    <row r="2522" spans="1:12" x14ac:dyDescent="0.15">
      <c r="A2522" s="1" t="s">
        <v>908</v>
      </c>
      <c r="B2522" s="1" t="s">
        <v>671</v>
      </c>
      <c r="D2522" s="1" t="s">
        <v>580</v>
      </c>
      <c r="E2522" s="1" t="s">
        <v>53</v>
      </c>
      <c r="F2522" s="3">
        <v>0</v>
      </c>
      <c r="G2522" s="8" t="s">
        <v>2773</v>
      </c>
      <c r="H2522" s="8" t="s">
        <v>5159</v>
      </c>
      <c r="I2522" s="3">
        <v>26</v>
      </c>
      <c r="J2522" s="3" t="s">
        <v>5981</v>
      </c>
      <c r="K2522" s="17" t="str">
        <f>HYPERLINK("http://ictvonline.org/taxonomyHistory.asp?taxnode_id=20172639","ICTVonline=20172639")</f>
        <v>ICTVonline=20172639</v>
      </c>
      <c r="L2522" s="3">
        <v>2521</v>
      </c>
    </row>
    <row r="2523" spans="1:12" x14ac:dyDescent="0.15">
      <c r="A2523" s="1" t="s">
        <v>908</v>
      </c>
      <c r="B2523" s="1" t="s">
        <v>671</v>
      </c>
      <c r="D2523" s="1" t="s">
        <v>580</v>
      </c>
      <c r="E2523" s="1" t="s">
        <v>54</v>
      </c>
      <c r="F2523" s="3">
        <v>0</v>
      </c>
      <c r="G2523" s="8" t="s">
        <v>2773</v>
      </c>
      <c r="H2523" s="8" t="s">
        <v>5159</v>
      </c>
      <c r="I2523" s="3">
        <v>26</v>
      </c>
      <c r="J2523" s="3" t="s">
        <v>5981</v>
      </c>
      <c r="K2523" s="17" t="str">
        <f>HYPERLINK("http://ictvonline.org/taxonomyHistory.asp?taxnode_id=20172640","ICTVonline=20172640")</f>
        <v>ICTVonline=20172640</v>
      </c>
      <c r="L2523" s="3">
        <v>2522</v>
      </c>
    </row>
    <row r="2524" spans="1:12" x14ac:dyDescent="0.15">
      <c r="A2524" s="1" t="s">
        <v>908</v>
      </c>
      <c r="B2524" s="1" t="s">
        <v>671</v>
      </c>
      <c r="D2524" s="1" t="s">
        <v>580</v>
      </c>
      <c r="E2524" s="1" t="s">
        <v>55</v>
      </c>
      <c r="F2524" s="3">
        <v>0</v>
      </c>
      <c r="G2524" s="8" t="s">
        <v>2773</v>
      </c>
      <c r="H2524" s="8" t="s">
        <v>5159</v>
      </c>
      <c r="I2524" s="3">
        <v>26</v>
      </c>
      <c r="J2524" s="3" t="s">
        <v>5981</v>
      </c>
      <c r="K2524" s="17" t="str">
        <f>HYPERLINK("http://ictvonline.org/taxonomyHistory.asp?taxnode_id=20172641","ICTVonline=20172641")</f>
        <v>ICTVonline=20172641</v>
      </c>
      <c r="L2524" s="3">
        <v>2523</v>
      </c>
    </row>
    <row r="2525" spans="1:12" x14ac:dyDescent="0.15">
      <c r="A2525" s="1" t="s">
        <v>908</v>
      </c>
      <c r="B2525" s="1" t="s">
        <v>671</v>
      </c>
      <c r="D2525" s="1" t="s">
        <v>580</v>
      </c>
      <c r="E2525" s="1" t="s">
        <v>56</v>
      </c>
      <c r="F2525" s="3">
        <v>0</v>
      </c>
      <c r="G2525" s="8" t="s">
        <v>2773</v>
      </c>
      <c r="H2525" s="8" t="s">
        <v>5159</v>
      </c>
      <c r="I2525" s="3">
        <v>26</v>
      </c>
      <c r="J2525" s="3" t="s">
        <v>5981</v>
      </c>
      <c r="K2525" s="17" t="str">
        <f>HYPERLINK("http://ictvonline.org/taxonomyHistory.asp?taxnode_id=20172642","ICTVonline=20172642")</f>
        <v>ICTVonline=20172642</v>
      </c>
      <c r="L2525" s="3">
        <v>2524</v>
      </c>
    </row>
    <row r="2526" spans="1:12" x14ac:dyDescent="0.15">
      <c r="A2526" s="1" t="s">
        <v>908</v>
      </c>
      <c r="B2526" s="1" t="s">
        <v>671</v>
      </c>
      <c r="D2526" s="1" t="s">
        <v>580</v>
      </c>
      <c r="E2526" s="1" t="s">
        <v>57</v>
      </c>
      <c r="F2526" s="3">
        <v>0</v>
      </c>
      <c r="G2526" s="8" t="s">
        <v>2773</v>
      </c>
      <c r="H2526" s="8" t="s">
        <v>5159</v>
      </c>
      <c r="I2526" s="3">
        <v>26</v>
      </c>
      <c r="J2526" s="3" t="s">
        <v>5981</v>
      </c>
      <c r="K2526" s="17" t="str">
        <f>HYPERLINK("http://ictvonline.org/taxonomyHistory.asp?taxnode_id=20172643","ICTVonline=20172643")</f>
        <v>ICTVonline=20172643</v>
      </c>
      <c r="L2526" s="3">
        <v>2525</v>
      </c>
    </row>
    <row r="2527" spans="1:12" x14ac:dyDescent="0.15">
      <c r="A2527" s="1" t="s">
        <v>908</v>
      </c>
      <c r="B2527" s="1" t="s">
        <v>671</v>
      </c>
      <c r="D2527" s="1" t="s">
        <v>580</v>
      </c>
      <c r="E2527" s="1" t="s">
        <v>58</v>
      </c>
      <c r="F2527" s="3">
        <v>0</v>
      </c>
      <c r="G2527" s="8" t="s">
        <v>2773</v>
      </c>
      <c r="H2527" s="8" t="s">
        <v>5159</v>
      </c>
      <c r="I2527" s="3">
        <v>26</v>
      </c>
      <c r="J2527" s="3" t="s">
        <v>5981</v>
      </c>
      <c r="K2527" s="17" t="str">
        <f>HYPERLINK("http://ictvonline.org/taxonomyHistory.asp?taxnode_id=20172644","ICTVonline=20172644")</f>
        <v>ICTVonline=20172644</v>
      </c>
      <c r="L2527" s="3">
        <v>2526</v>
      </c>
    </row>
    <row r="2528" spans="1:12" x14ac:dyDescent="0.15">
      <c r="A2528" s="1" t="s">
        <v>908</v>
      </c>
      <c r="B2528" s="1" t="s">
        <v>555</v>
      </c>
      <c r="D2528" s="1" t="s">
        <v>556</v>
      </c>
      <c r="E2528" s="1" t="s">
        <v>557</v>
      </c>
      <c r="F2528" s="3">
        <v>1</v>
      </c>
      <c r="G2528" s="8" t="s">
        <v>2775</v>
      </c>
      <c r="H2528" s="8" t="s">
        <v>5161</v>
      </c>
      <c r="I2528" s="3">
        <v>17</v>
      </c>
      <c r="J2528" s="3" t="s">
        <v>5970</v>
      </c>
      <c r="K2528" s="17" t="str">
        <f>HYPERLINK("http://ictvonline.org/taxonomyHistory.asp?taxnode_id=20172648","ICTVonline=20172648")</f>
        <v>ICTVonline=20172648</v>
      </c>
      <c r="L2528" s="3">
        <v>2527</v>
      </c>
    </row>
    <row r="2529" spans="1:12" x14ac:dyDescent="0.15">
      <c r="A2529" s="1" t="s">
        <v>908</v>
      </c>
      <c r="B2529" s="1" t="s">
        <v>555</v>
      </c>
      <c r="D2529" s="1" t="s">
        <v>558</v>
      </c>
      <c r="E2529" s="1" t="s">
        <v>559</v>
      </c>
      <c r="F2529" s="3">
        <v>1</v>
      </c>
      <c r="G2529" s="8" t="s">
        <v>2775</v>
      </c>
      <c r="H2529" s="8" t="s">
        <v>5164</v>
      </c>
      <c r="I2529" s="3">
        <v>24</v>
      </c>
      <c r="J2529" s="3" t="s">
        <v>5982</v>
      </c>
      <c r="K2529" s="17" t="str">
        <f>HYPERLINK("http://ictvonline.org/taxonomyHistory.asp?taxnode_id=20172650","ICTVonline=20172650")</f>
        <v>ICTVonline=20172650</v>
      </c>
      <c r="L2529" s="3">
        <v>2528</v>
      </c>
    </row>
    <row r="2530" spans="1:12" x14ac:dyDescent="0.15">
      <c r="A2530" s="1" t="s">
        <v>908</v>
      </c>
      <c r="B2530" s="1" t="s">
        <v>555</v>
      </c>
      <c r="D2530" s="1" t="s">
        <v>560</v>
      </c>
      <c r="E2530" s="1" t="s">
        <v>561</v>
      </c>
      <c r="F2530" s="3">
        <v>0</v>
      </c>
      <c r="G2530" s="8" t="s">
        <v>2775</v>
      </c>
      <c r="H2530" s="8" t="s">
        <v>5159</v>
      </c>
      <c r="I2530" s="3">
        <v>17</v>
      </c>
      <c r="J2530" s="3" t="s">
        <v>5970</v>
      </c>
      <c r="K2530" s="17" t="str">
        <f>HYPERLINK("http://ictvonline.org/taxonomyHistory.asp?taxnode_id=20172652","ICTVonline=20172652")</f>
        <v>ICTVonline=20172652</v>
      </c>
      <c r="L2530" s="3">
        <v>2529</v>
      </c>
    </row>
    <row r="2531" spans="1:12" x14ac:dyDescent="0.15">
      <c r="A2531" s="1" t="s">
        <v>908</v>
      </c>
      <c r="B2531" s="1" t="s">
        <v>555</v>
      </c>
      <c r="D2531" s="1" t="s">
        <v>560</v>
      </c>
      <c r="E2531" s="1" t="s">
        <v>1741</v>
      </c>
      <c r="F2531" s="3">
        <v>1</v>
      </c>
      <c r="G2531" s="8" t="s">
        <v>2775</v>
      </c>
      <c r="H2531" s="8" t="s">
        <v>5165</v>
      </c>
      <c r="I2531" s="3">
        <v>17</v>
      </c>
      <c r="J2531" s="3" t="s">
        <v>5970</v>
      </c>
      <c r="K2531" s="17" t="str">
        <f>HYPERLINK("http://ictvonline.org/taxonomyHistory.asp?taxnode_id=20172653","ICTVonline=20172653")</f>
        <v>ICTVonline=20172653</v>
      </c>
      <c r="L2531" s="3">
        <v>2530</v>
      </c>
    </row>
    <row r="2532" spans="1:12" x14ac:dyDescent="0.15">
      <c r="A2532" s="1" t="s">
        <v>908</v>
      </c>
      <c r="B2532" s="1" t="s">
        <v>5983</v>
      </c>
      <c r="D2532" s="1" t="s">
        <v>5984</v>
      </c>
      <c r="E2532" s="1" t="s">
        <v>5985</v>
      </c>
      <c r="F2532" s="3">
        <v>1</v>
      </c>
      <c r="G2532" s="8" t="s">
        <v>2774</v>
      </c>
      <c r="H2532" s="8" t="s">
        <v>5159</v>
      </c>
      <c r="I2532" s="3">
        <v>32</v>
      </c>
      <c r="J2532" s="3" t="s">
        <v>5986</v>
      </c>
      <c r="K2532" s="17" t="str">
        <f>HYPERLINK("http://ictvonline.org/taxonomyHistory.asp?taxnode_id=20175746","ICTVonline=20175746")</f>
        <v>ICTVonline=20175746</v>
      </c>
      <c r="L2532" s="3">
        <v>2531</v>
      </c>
    </row>
    <row r="2533" spans="1:12" x14ac:dyDescent="0.15">
      <c r="A2533" s="1" t="s">
        <v>908</v>
      </c>
      <c r="B2533" s="1" t="s">
        <v>5983</v>
      </c>
      <c r="D2533" s="1" t="s">
        <v>5987</v>
      </c>
      <c r="E2533" s="1" t="s">
        <v>5988</v>
      </c>
      <c r="F2533" s="3">
        <v>1</v>
      </c>
      <c r="G2533" s="8" t="s">
        <v>2774</v>
      </c>
      <c r="H2533" s="8" t="s">
        <v>5159</v>
      </c>
      <c r="I2533" s="3">
        <v>32</v>
      </c>
      <c r="J2533" s="3" t="s">
        <v>5986</v>
      </c>
      <c r="K2533" s="17" t="str">
        <f>HYPERLINK("http://ictvonline.org/taxonomyHistory.asp?taxnode_id=20175748","ICTVonline=20175748")</f>
        <v>ICTVonline=20175748</v>
      </c>
      <c r="L2533" s="3">
        <v>2532</v>
      </c>
    </row>
    <row r="2534" spans="1:12" x14ac:dyDescent="0.15">
      <c r="A2534" s="1" t="s">
        <v>908</v>
      </c>
      <c r="B2534" s="1" t="s">
        <v>5983</v>
      </c>
      <c r="D2534" s="1" t="s">
        <v>5989</v>
      </c>
      <c r="E2534" s="1" t="s">
        <v>5990</v>
      </c>
      <c r="F2534" s="3">
        <v>1</v>
      </c>
      <c r="G2534" s="8" t="s">
        <v>2774</v>
      </c>
      <c r="H2534" s="8" t="s">
        <v>5160</v>
      </c>
      <c r="I2534" s="3">
        <v>32</v>
      </c>
      <c r="J2534" s="3" t="s">
        <v>5986</v>
      </c>
      <c r="K2534" s="17" t="str">
        <f>HYPERLINK("http://ictvonline.org/taxonomyHistory.asp?taxnode_id=20175339","ICTVonline=20175339")</f>
        <v>ICTVonline=20175339</v>
      </c>
      <c r="L2534" s="3">
        <v>2533</v>
      </c>
    </row>
    <row r="2535" spans="1:12" x14ac:dyDescent="0.15">
      <c r="A2535" s="1" t="s">
        <v>908</v>
      </c>
      <c r="B2535" s="1" t="s">
        <v>5983</v>
      </c>
      <c r="D2535" s="1" t="s">
        <v>5989</v>
      </c>
      <c r="E2535" s="1" t="s">
        <v>5991</v>
      </c>
      <c r="F2535" s="3">
        <v>0</v>
      </c>
      <c r="G2535" s="8" t="s">
        <v>2774</v>
      </c>
      <c r="H2535" s="8" t="s">
        <v>5159</v>
      </c>
      <c r="I2535" s="3">
        <v>32</v>
      </c>
      <c r="J2535" s="3" t="s">
        <v>5986</v>
      </c>
      <c r="K2535" s="17" t="str">
        <f>HYPERLINK("http://ictvonline.org/taxonomyHistory.asp?taxnode_id=20175750","ICTVonline=20175750")</f>
        <v>ICTVonline=20175750</v>
      </c>
      <c r="L2535" s="3">
        <v>2534</v>
      </c>
    </row>
    <row r="2536" spans="1:12" x14ac:dyDescent="0.15">
      <c r="A2536" s="1" t="s">
        <v>908</v>
      </c>
      <c r="B2536" s="1" t="s">
        <v>5983</v>
      </c>
      <c r="D2536" s="1" t="s">
        <v>5989</v>
      </c>
      <c r="E2536" s="1" t="s">
        <v>5992</v>
      </c>
      <c r="F2536" s="3">
        <v>0</v>
      </c>
      <c r="G2536" s="8" t="s">
        <v>2774</v>
      </c>
      <c r="H2536" s="8" t="s">
        <v>5159</v>
      </c>
      <c r="I2536" s="3">
        <v>32</v>
      </c>
      <c r="J2536" s="3" t="s">
        <v>5986</v>
      </c>
      <c r="K2536" s="17" t="str">
        <f>HYPERLINK("http://ictvonline.org/taxonomyHistory.asp?taxnode_id=20175751","ICTVonline=20175751")</f>
        <v>ICTVonline=20175751</v>
      </c>
      <c r="L2536" s="3">
        <v>2535</v>
      </c>
    </row>
    <row r="2537" spans="1:12" x14ac:dyDescent="0.15">
      <c r="A2537" s="1" t="s">
        <v>908</v>
      </c>
      <c r="B2537" s="1" t="s">
        <v>5983</v>
      </c>
      <c r="D2537" s="1" t="s">
        <v>5989</v>
      </c>
      <c r="E2537" s="1" t="s">
        <v>5993</v>
      </c>
      <c r="F2537" s="3">
        <v>0</v>
      </c>
      <c r="G2537" s="8" t="s">
        <v>2774</v>
      </c>
      <c r="H2537" s="8" t="s">
        <v>5159</v>
      </c>
      <c r="I2537" s="3">
        <v>32</v>
      </c>
      <c r="J2537" s="3" t="s">
        <v>5986</v>
      </c>
      <c r="K2537" s="17" t="str">
        <f>HYPERLINK("http://ictvonline.org/taxonomyHistory.asp?taxnode_id=20175752","ICTVonline=20175752")</f>
        <v>ICTVonline=20175752</v>
      </c>
      <c r="L2537" s="3">
        <v>2536</v>
      </c>
    </row>
    <row r="2538" spans="1:12" x14ac:dyDescent="0.15">
      <c r="A2538" s="1" t="s">
        <v>908</v>
      </c>
      <c r="B2538" s="1" t="s">
        <v>5983</v>
      </c>
      <c r="D2538" s="1" t="s">
        <v>5989</v>
      </c>
      <c r="E2538" s="1" t="s">
        <v>5994</v>
      </c>
      <c r="F2538" s="3">
        <v>0</v>
      </c>
      <c r="G2538" s="8" t="s">
        <v>2774</v>
      </c>
      <c r="H2538" s="8" t="s">
        <v>5159</v>
      </c>
      <c r="I2538" s="3">
        <v>32</v>
      </c>
      <c r="J2538" s="3" t="s">
        <v>5986</v>
      </c>
      <c r="K2538" s="17" t="str">
        <f>HYPERLINK("http://ictvonline.org/taxonomyHistory.asp?taxnode_id=20175753","ICTVonline=20175753")</f>
        <v>ICTVonline=20175753</v>
      </c>
      <c r="L2538" s="3">
        <v>2537</v>
      </c>
    </row>
    <row r="2539" spans="1:12" x14ac:dyDescent="0.15">
      <c r="A2539" s="1" t="s">
        <v>908</v>
      </c>
      <c r="B2539" s="1" t="s">
        <v>5983</v>
      </c>
      <c r="D2539" s="1" t="s">
        <v>5989</v>
      </c>
      <c r="E2539" s="1" t="s">
        <v>5995</v>
      </c>
      <c r="F2539" s="3">
        <v>0</v>
      </c>
      <c r="G2539" s="8" t="s">
        <v>2774</v>
      </c>
      <c r="H2539" s="8" t="s">
        <v>5159</v>
      </c>
      <c r="I2539" s="3">
        <v>32</v>
      </c>
      <c r="J2539" s="3" t="s">
        <v>5986</v>
      </c>
      <c r="K2539" s="17" t="str">
        <f>HYPERLINK("http://ictvonline.org/taxonomyHistory.asp?taxnode_id=20175754","ICTVonline=20175754")</f>
        <v>ICTVonline=20175754</v>
      </c>
      <c r="L2539" s="3">
        <v>2538</v>
      </c>
    </row>
    <row r="2540" spans="1:12" x14ac:dyDescent="0.15">
      <c r="A2540" s="1" t="s">
        <v>908</v>
      </c>
      <c r="B2540" s="1" t="s">
        <v>5983</v>
      </c>
      <c r="D2540" s="1" t="s">
        <v>5989</v>
      </c>
      <c r="E2540" s="1" t="s">
        <v>5996</v>
      </c>
      <c r="F2540" s="3">
        <v>0</v>
      </c>
      <c r="G2540" s="8" t="s">
        <v>2774</v>
      </c>
      <c r="H2540" s="8" t="s">
        <v>5159</v>
      </c>
      <c r="I2540" s="3">
        <v>32</v>
      </c>
      <c r="J2540" s="3" t="s">
        <v>5986</v>
      </c>
      <c r="K2540" s="17" t="str">
        <f>HYPERLINK("http://ictvonline.org/taxonomyHistory.asp?taxnode_id=20175755","ICTVonline=20175755")</f>
        <v>ICTVonline=20175755</v>
      </c>
      <c r="L2540" s="3">
        <v>2539</v>
      </c>
    </row>
    <row r="2541" spans="1:12" x14ac:dyDescent="0.15">
      <c r="A2541" s="1" t="s">
        <v>908</v>
      </c>
      <c r="B2541" s="1" t="s">
        <v>1742</v>
      </c>
      <c r="D2541" s="1" t="s">
        <v>1743</v>
      </c>
      <c r="E2541" s="1" t="s">
        <v>697</v>
      </c>
      <c r="F2541" s="3">
        <v>0</v>
      </c>
      <c r="G2541" s="8" t="s">
        <v>2771</v>
      </c>
      <c r="H2541" s="8" t="s">
        <v>5161</v>
      </c>
      <c r="I2541" s="3">
        <v>24</v>
      </c>
      <c r="J2541" s="3" t="s">
        <v>5997</v>
      </c>
      <c r="K2541" s="17" t="str">
        <f>HYPERLINK("http://ictvonline.org/taxonomyHistory.asp?taxnode_id=20172657","ICTVonline=20172657")</f>
        <v>ICTVonline=20172657</v>
      </c>
      <c r="L2541" s="3">
        <v>2540</v>
      </c>
    </row>
    <row r="2542" spans="1:12" x14ac:dyDescent="0.15">
      <c r="A2542" s="1" t="s">
        <v>908</v>
      </c>
      <c r="B2542" s="1" t="s">
        <v>1742</v>
      </c>
      <c r="D2542" s="1" t="s">
        <v>1743</v>
      </c>
      <c r="E2542" s="1" t="s">
        <v>698</v>
      </c>
      <c r="F2542" s="3">
        <v>0</v>
      </c>
      <c r="G2542" s="8" t="s">
        <v>2771</v>
      </c>
      <c r="H2542" s="8" t="s">
        <v>5161</v>
      </c>
      <c r="I2542" s="3">
        <v>24</v>
      </c>
      <c r="J2542" s="3" t="s">
        <v>5997</v>
      </c>
      <c r="K2542" s="17" t="str">
        <f>HYPERLINK("http://ictvonline.org/taxonomyHistory.asp?taxnode_id=20172658","ICTVonline=20172658")</f>
        <v>ICTVonline=20172658</v>
      </c>
      <c r="L2542" s="3">
        <v>2541</v>
      </c>
    </row>
    <row r="2543" spans="1:12" x14ac:dyDescent="0.15">
      <c r="A2543" s="1" t="s">
        <v>908</v>
      </c>
      <c r="B2543" s="1" t="s">
        <v>1742</v>
      </c>
      <c r="D2543" s="1" t="s">
        <v>1743</v>
      </c>
      <c r="E2543" s="1" t="s">
        <v>3823</v>
      </c>
      <c r="F2543" s="3">
        <v>0</v>
      </c>
      <c r="G2543" s="8" t="s">
        <v>2771</v>
      </c>
      <c r="H2543" s="8" t="s">
        <v>5162</v>
      </c>
      <c r="I2543" s="3">
        <v>30</v>
      </c>
      <c r="J2543" s="3" t="s">
        <v>5998</v>
      </c>
      <c r="K2543" s="17" t="str">
        <f>HYPERLINK("http://ictvonline.org/taxonomyHistory.asp?taxnode_id=20172659","ICTVonline=20172659")</f>
        <v>ICTVonline=20172659</v>
      </c>
      <c r="L2543" s="3">
        <v>2542</v>
      </c>
    </row>
    <row r="2544" spans="1:12" x14ac:dyDescent="0.15">
      <c r="A2544" s="1" t="s">
        <v>908</v>
      </c>
      <c r="B2544" s="1" t="s">
        <v>1742</v>
      </c>
      <c r="D2544" s="1" t="s">
        <v>1743</v>
      </c>
      <c r="E2544" s="1" t="s">
        <v>3824</v>
      </c>
      <c r="F2544" s="3">
        <v>0</v>
      </c>
      <c r="G2544" s="8" t="s">
        <v>2771</v>
      </c>
      <c r="H2544" s="8" t="s">
        <v>5159</v>
      </c>
      <c r="I2544" s="3">
        <v>30</v>
      </c>
      <c r="J2544" s="3" t="s">
        <v>5998</v>
      </c>
      <c r="K2544" s="17" t="str">
        <f>HYPERLINK("http://ictvonline.org/taxonomyHistory.asp?taxnode_id=20172660","ICTVonline=20172660")</f>
        <v>ICTVonline=20172660</v>
      </c>
      <c r="L2544" s="3">
        <v>2543</v>
      </c>
    </row>
    <row r="2545" spans="1:12" x14ac:dyDescent="0.15">
      <c r="A2545" s="1" t="s">
        <v>908</v>
      </c>
      <c r="B2545" s="1" t="s">
        <v>1742</v>
      </c>
      <c r="D2545" s="1" t="s">
        <v>1743</v>
      </c>
      <c r="E2545" s="1" t="s">
        <v>2235</v>
      </c>
      <c r="F2545" s="3">
        <v>0</v>
      </c>
      <c r="G2545" s="8" t="s">
        <v>2771</v>
      </c>
      <c r="H2545" s="8" t="s">
        <v>5159</v>
      </c>
      <c r="I2545" s="3">
        <v>27</v>
      </c>
      <c r="J2545" s="3" t="s">
        <v>5999</v>
      </c>
      <c r="K2545" s="17" t="str">
        <f>HYPERLINK("http://ictvonline.org/taxonomyHistory.asp?taxnode_id=20172661","ICTVonline=20172661")</f>
        <v>ICTVonline=20172661</v>
      </c>
      <c r="L2545" s="3">
        <v>2544</v>
      </c>
    </row>
    <row r="2546" spans="1:12" x14ac:dyDescent="0.15">
      <c r="A2546" s="1" t="s">
        <v>908</v>
      </c>
      <c r="B2546" s="1" t="s">
        <v>1742</v>
      </c>
      <c r="D2546" s="1" t="s">
        <v>1743</v>
      </c>
      <c r="E2546" s="1" t="s">
        <v>1759</v>
      </c>
      <c r="F2546" s="3">
        <v>0</v>
      </c>
      <c r="G2546" s="8" t="s">
        <v>2771</v>
      </c>
      <c r="H2546" s="8" t="s">
        <v>5161</v>
      </c>
      <c r="I2546" s="3">
        <v>24</v>
      </c>
      <c r="J2546" s="3" t="s">
        <v>5997</v>
      </c>
      <c r="K2546" s="17" t="str">
        <f>HYPERLINK("http://ictvonline.org/taxonomyHistory.asp?taxnode_id=20172662","ICTVonline=20172662")</f>
        <v>ICTVonline=20172662</v>
      </c>
      <c r="L2546" s="3">
        <v>2545</v>
      </c>
    </row>
    <row r="2547" spans="1:12" x14ac:dyDescent="0.15">
      <c r="A2547" s="1" t="s">
        <v>908</v>
      </c>
      <c r="B2547" s="1" t="s">
        <v>1742</v>
      </c>
      <c r="D2547" s="1" t="s">
        <v>1743</v>
      </c>
      <c r="E2547" s="1" t="s">
        <v>699</v>
      </c>
      <c r="F2547" s="3">
        <v>1</v>
      </c>
      <c r="G2547" s="8" t="s">
        <v>2771</v>
      </c>
      <c r="H2547" s="8" t="s">
        <v>5161</v>
      </c>
      <c r="I2547" s="3">
        <v>24</v>
      </c>
      <c r="J2547" s="3" t="s">
        <v>5997</v>
      </c>
      <c r="K2547" s="17" t="str">
        <f>HYPERLINK("http://ictvonline.org/taxonomyHistory.asp?taxnode_id=20172663","ICTVonline=20172663")</f>
        <v>ICTVonline=20172663</v>
      </c>
      <c r="L2547" s="3">
        <v>2546</v>
      </c>
    </row>
    <row r="2548" spans="1:12" x14ac:dyDescent="0.15">
      <c r="A2548" s="1" t="s">
        <v>908</v>
      </c>
      <c r="B2548" s="1" t="s">
        <v>1742</v>
      </c>
      <c r="D2548" s="1" t="s">
        <v>1743</v>
      </c>
      <c r="E2548" s="1" t="s">
        <v>700</v>
      </c>
      <c r="F2548" s="3">
        <v>0</v>
      </c>
      <c r="G2548" s="8" t="s">
        <v>2771</v>
      </c>
      <c r="H2548" s="8" t="s">
        <v>5161</v>
      </c>
      <c r="I2548" s="3">
        <v>24</v>
      </c>
      <c r="J2548" s="3" t="s">
        <v>5997</v>
      </c>
      <c r="K2548" s="17" t="str">
        <f>HYPERLINK("http://ictvonline.org/taxonomyHistory.asp?taxnode_id=20172664","ICTVonline=20172664")</f>
        <v>ICTVonline=20172664</v>
      </c>
      <c r="L2548" s="3">
        <v>2547</v>
      </c>
    </row>
    <row r="2549" spans="1:12" x14ac:dyDescent="0.15">
      <c r="A2549" s="1" t="s">
        <v>908</v>
      </c>
      <c r="B2549" s="1" t="s">
        <v>1742</v>
      </c>
      <c r="D2549" s="1" t="s">
        <v>1743</v>
      </c>
      <c r="E2549" s="1" t="s">
        <v>701</v>
      </c>
      <c r="F2549" s="3">
        <v>0</v>
      </c>
      <c r="G2549" s="8" t="s">
        <v>2771</v>
      </c>
      <c r="H2549" s="8" t="s">
        <v>5161</v>
      </c>
      <c r="I2549" s="3">
        <v>24</v>
      </c>
      <c r="J2549" s="3" t="s">
        <v>5997</v>
      </c>
      <c r="K2549" s="17" t="str">
        <f>HYPERLINK("http://ictvonline.org/taxonomyHistory.asp?taxnode_id=20172665","ICTVonline=20172665")</f>
        <v>ICTVonline=20172665</v>
      </c>
      <c r="L2549" s="3">
        <v>2548</v>
      </c>
    </row>
    <row r="2550" spans="1:12" x14ac:dyDescent="0.15">
      <c r="A2550" s="1" t="s">
        <v>908</v>
      </c>
      <c r="B2550" s="1" t="s">
        <v>1742</v>
      </c>
      <c r="D2550" s="1" t="s">
        <v>1743</v>
      </c>
      <c r="E2550" s="1" t="s">
        <v>4861</v>
      </c>
      <c r="F2550" s="3">
        <v>0</v>
      </c>
      <c r="G2550" s="8" t="s">
        <v>2771</v>
      </c>
      <c r="H2550" s="8" t="s">
        <v>5159</v>
      </c>
      <c r="I2550" s="3">
        <v>31</v>
      </c>
      <c r="J2550" s="3" t="s">
        <v>6000</v>
      </c>
      <c r="K2550" s="17" t="str">
        <f>HYPERLINK("http://ictvonline.org/taxonomyHistory.asp?taxnode_id=20172666","ICTVonline=20172666")</f>
        <v>ICTVonline=20172666</v>
      </c>
      <c r="L2550" s="3">
        <v>2549</v>
      </c>
    </row>
    <row r="2551" spans="1:12" x14ac:dyDescent="0.15">
      <c r="A2551" s="1" t="s">
        <v>908</v>
      </c>
      <c r="B2551" s="1" t="s">
        <v>1742</v>
      </c>
      <c r="D2551" s="1" t="s">
        <v>1743</v>
      </c>
      <c r="E2551" s="1" t="s">
        <v>702</v>
      </c>
      <c r="F2551" s="3">
        <v>0</v>
      </c>
      <c r="G2551" s="8" t="s">
        <v>2771</v>
      </c>
      <c r="H2551" s="8" t="s">
        <v>5161</v>
      </c>
      <c r="I2551" s="3">
        <v>24</v>
      </c>
      <c r="J2551" s="3" t="s">
        <v>5997</v>
      </c>
      <c r="K2551" s="17" t="str">
        <f>HYPERLINK("http://ictvonline.org/taxonomyHistory.asp?taxnode_id=20172667","ICTVonline=20172667")</f>
        <v>ICTVonline=20172667</v>
      </c>
      <c r="L2551" s="3">
        <v>2550</v>
      </c>
    </row>
    <row r="2552" spans="1:12" x14ac:dyDescent="0.15">
      <c r="A2552" s="1" t="s">
        <v>908</v>
      </c>
      <c r="B2552" s="1" t="s">
        <v>1742</v>
      </c>
      <c r="D2552" s="1" t="s">
        <v>1743</v>
      </c>
      <c r="E2552" s="1" t="s">
        <v>1763</v>
      </c>
      <c r="F2552" s="3">
        <v>0</v>
      </c>
      <c r="G2552" s="8" t="s">
        <v>2771</v>
      </c>
      <c r="H2552" s="8" t="s">
        <v>5161</v>
      </c>
      <c r="I2552" s="3">
        <v>24</v>
      </c>
      <c r="J2552" s="3" t="s">
        <v>5997</v>
      </c>
      <c r="K2552" s="17" t="str">
        <f>HYPERLINK("http://ictvonline.org/taxonomyHistory.asp?taxnode_id=20172668","ICTVonline=20172668")</f>
        <v>ICTVonline=20172668</v>
      </c>
      <c r="L2552" s="3">
        <v>2551</v>
      </c>
    </row>
    <row r="2553" spans="1:12" x14ac:dyDescent="0.15">
      <c r="A2553" s="1" t="s">
        <v>908</v>
      </c>
      <c r="B2553" s="1" t="s">
        <v>1742</v>
      </c>
      <c r="D2553" s="1" t="s">
        <v>1743</v>
      </c>
      <c r="E2553" s="1" t="s">
        <v>4862</v>
      </c>
      <c r="F2553" s="3">
        <v>0</v>
      </c>
      <c r="G2553" s="8" t="s">
        <v>2771</v>
      </c>
      <c r="H2553" s="8" t="s">
        <v>5159</v>
      </c>
      <c r="I2553" s="3">
        <v>31</v>
      </c>
      <c r="J2553" s="3" t="s">
        <v>6001</v>
      </c>
      <c r="K2553" s="17" t="str">
        <f>HYPERLINK("http://ictvonline.org/taxonomyHistory.asp?taxnode_id=20172669","ICTVonline=20172669")</f>
        <v>ICTVonline=20172669</v>
      </c>
      <c r="L2553" s="3">
        <v>2552</v>
      </c>
    </row>
    <row r="2554" spans="1:12" x14ac:dyDescent="0.15">
      <c r="A2554" s="1" t="s">
        <v>908</v>
      </c>
      <c r="B2554" s="1" t="s">
        <v>1742</v>
      </c>
      <c r="D2554" s="1" t="s">
        <v>1743</v>
      </c>
      <c r="E2554" s="1" t="s">
        <v>1765</v>
      </c>
      <c r="F2554" s="3">
        <v>0</v>
      </c>
      <c r="G2554" s="8" t="s">
        <v>2771</v>
      </c>
      <c r="H2554" s="8" t="s">
        <v>5161</v>
      </c>
      <c r="I2554" s="3">
        <v>24</v>
      </c>
      <c r="J2554" s="3" t="s">
        <v>5997</v>
      </c>
      <c r="K2554" s="17" t="str">
        <f>HYPERLINK("http://ictvonline.org/taxonomyHistory.asp?taxnode_id=20172670","ICTVonline=20172670")</f>
        <v>ICTVonline=20172670</v>
      </c>
      <c r="L2554" s="3">
        <v>2553</v>
      </c>
    </row>
    <row r="2555" spans="1:12" x14ac:dyDescent="0.15">
      <c r="A2555" s="1" t="s">
        <v>908</v>
      </c>
      <c r="B2555" s="1" t="s">
        <v>1742</v>
      </c>
      <c r="D2555" s="1" t="s">
        <v>1743</v>
      </c>
      <c r="E2555" s="1" t="s">
        <v>2236</v>
      </c>
      <c r="F2555" s="3">
        <v>0</v>
      </c>
      <c r="G2555" s="8" t="s">
        <v>2771</v>
      </c>
      <c r="H2555" s="8" t="s">
        <v>5159</v>
      </c>
      <c r="I2555" s="3">
        <v>27</v>
      </c>
      <c r="J2555" s="3" t="s">
        <v>5999</v>
      </c>
      <c r="K2555" s="17" t="str">
        <f>HYPERLINK("http://ictvonline.org/taxonomyHistory.asp?taxnode_id=20172671","ICTVonline=20172671")</f>
        <v>ICTVonline=20172671</v>
      </c>
      <c r="L2555" s="3">
        <v>2554</v>
      </c>
    </row>
    <row r="2556" spans="1:12" x14ac:dyDescent="0.15">
      <c r="A2556" s="1" t="s">
        <v>908</v>
      </c>
      <c r="B2556" s="1" t="s">
        <v>1742</v>
      </c>
      <c r="D2556" s="1" t="s">
        <v>1743</v>
      </c>
      <c r="E2556" s="1" t="s">
        <v>3825</v>
      </c>
      <c r="F2556" s="3">
        <v>0</v>
      </c>
      <c r="G2556" s="8" t="s">
        <v>2771</v>
      </c>
      <c r="H2556" s="8" t="s">
        <v>5159</v>
      </c>
      <c r="I2556" s="3">
        <v>30</v>
      </c>
      <c r="J2556" s="3" t="s">
        <v>6002</v>
      </c>
      <c r="K2556" s="17" t="str">
        <f>HYPERLINK("http://ictvonline.org/taxonomyHistory.asp?taxnode_id=20172672","ICTVonline=20172672")</f>
        <v>ICTVonline=20172672</v>
      </c>
      <c r="L2556" s="3">
        <v>2555</v>
      </c>
    </row>
    <row r="2557" spans="1:12" x14ac:dyDescent="0.15">
      <c r="A2557" s="1" t="s">
        <v>908</v>
      </c>
      <c r="B2557" s="1" t="s">
        <v>1742</v>
      </c>
      <c r="D2557" s="1" t="s">
        <v>1743</v>
      </c>
      <c r="E2557" s="1" t="s">
        <v>2237</v>
      </c>
      <c r="F2557" s="3">
        <v>0</v>
      </c>
      <c r="G2557" s="8" t="s">
        <v>2771</v>
      </c>
      <c r="H2557" s="8" t="s">
        <v>5159</v>
      </c>
      <c r="I2557" s="3">
        <v>27</v>
      </c>
      <c r="J2557" s="3" t="s">
        <v>5999</v>
      </c>
      <c r="K2557" s="17" t="str">
        <f>HYPERLINK("http://ictvonline.org/taxonomyHistory.asp?taxnode_id=20172673","ICTVonline=20172673")</f>
        <v>ICTVonline=20172673</v>
      </c>
      <c r="L2557" s="3">
        <v>2556</v>
      </c>
    </row>
    <row r="2558" spans="1:12" x14ac:dyDescent="0.15">
      <c r="A2558" s="1" t="s">
        <v>908</v>
      </c>
      <c r="B2558" s="1" t="s">
        <v>1742</v>
      </c>
      <c r="D2558" s="1" t="s">
        <v>1743</v>
      </c>
      <c r="E2558" s="1" t="s">
        <v>1766</v>
      </c>
      <c r="F2558" s="3">
        <v>0</v>
      </c>
      <c r="G2558" s="8" t="s">
        <v>2771</v>
      </c>
      <c r="H2558" s="8" t="s">
        <v>5160</v>
      </c>
      <c r="I2558" s="3">
        <v>24</v>
      </c>
      <c r="J2558" s="3" t="s">
        <v>5997</v>
      </c>
      <c r="K2558" s="17" t="str">
        <f>HYPERLINK("http://ictvonline.org/taxonomyHistory.asp?taxnode_id=20172674","ICTVonline=20172674")</f>
        <v>ICTVonline=20172674</v>
      </c>
      <c r="L2558" s="3">
        <v>2557</v>
      </c>
    </row>
    <row r="2559" spans="1:12" x14ac:dyDescent="0.15">
      <c r="A2559" s="1" t="s">
        <v>908</v>
      </c>
      <c r="B2559" s="1" t="s">
        <v>1742</v>
      </c>
      <c r="D2559" s="1" t="s">
        <v>1743</v>
      </c>
      <c r="E2559" s="1" t="s">
        <v>1767</v>
      </c>
      <c r="F2559" s="3">
        <v>0</v>
      </c>
      <c r="G2559" s="8" t="s">
        <v>2771</v>
      </c>
      <c r="H2559" s="8" t="s">
        <v>5161</v>
      </c>
      <c r="I2559" s="3">
        <v>24</v>
      </c>
      <c r="J2559" s="3" t="s">
        <v>5997</v>
      </c>
      <c r="K2559" s="17" t="str">
        <f>HYPERLINK("http://ictvonline.org/taxonomyHistory.asp?taxnode_id=20172675","ICTVonline=20172675")</f>
        <v>ICTVonline=20172675</v>
      </c>
      <c r="L2559" s="3">
        <v>2558</v>
      </c>
    </row>
    <row r="2560" spans="1:12" x14ac:dyDescent="0.15">
      <c r="A2560" s="1" t="s">
        <v>908</v>
      </c>
      <c r="B2560" s="1" t="s">
        <v>1742</v>
      </c>
      <c r="D2560" s="1" t="s">
        <v>1743</v>
      </c>
      <c r="E2560" s="1" t="s">
        <v>2238</v>
      </c>
      <c r="F2560" s="3">
        <v>0</v>
      </c>
      <c r="G2560" s="8" t="s">
        <v>2771</v>
      </c>
      <c r="H2560" s="8" t="s">
        <v>5159</v>
      </c>
      <c r="I2560" s="3">
        <v>27</v>
      </c>
      <c r="J2560" s="3" t="s">
        <v>5999</v>
      </c>
      <c r="K2560" s="17" t="str">
        <f>HYPERLINK("http://ictvonline.org/taxonomyHistory.asp?taxnode_id=20172676","ICTVonline=20172676")</f>
        <v>ICTVonline=20172676</v>
      </c>
      <c r="L2560" s="3">
        <v>2559</v>
      </c>
    </row>
    <row r="2561" spans="1:12" x14ac:dyDescent="0.15">
      <c r="A2561" s="1" t="s">
        <v>908</v>
      </c>
      <c r="B2561" s="1" t="s">
        <v>1742</v>
      </c>
      <c r="D2561" s="1" t="s">
        <v>1743</v>
      </c>
      <c r="E2561" s="1" t="s">
        <v>1768</v>
      </c>
      <c r="F2561" s="3">
        <v>0</v>
      </c>
      <c r="G2561" s="8" t="s">
        <v>2771</v>
      </c>
      <c r="H2561" s="8" t="s">
        <v>5168</v>
      </c>
      <c r="I2561" s="3">
        <v>29</v>
      </c>
      <c r="J2561" s="3" t="s">
        <v>6003</v>
      </c>
      <c r="K2561" s="17" t="str">
        <f>HYPERLINK("http://ictvonline.org/taxonomyHistory.asp?taxnode_id=20172677","ICTVonline=20172677")</f>
        <v>ICTVonline=20172677</v>
      </c>
      <c r="L2561" s="3">
        <v>2560</v>
      </c>
    </row>
    <row r="2562" spans="1:12" x14ac:dyDescent="0.15">
      <c r="A2562" s="1" t="s">
        <v>908</v>
      </c>
      <c r="B2562" s="1" t="s">
        <v>1742</v>
      </c>
      <c r="D2562" s="1" t="s">
        <v>1743</v>
      </c>
      <c r="E2562" s="1" t="s">
        <v>2239</v>
      </c>
      <c r="F2562" s="3">
        <v>0</v>
      </c>
      <c r="G2562" s="8" t="s">
        <v>2771</v>
      </c>
      <c r="H2562" s="8" t="s">
        <v>5159</v>
      </c>
      <c r="I2562" s="3">
        <v>27</v>
      </c>
      <c r="J2562" s="3" t="s">
        <v>5999</v>
      </c>
      <c r="K2562" s="17" t="str">
        <f>HYPERLINK("http://ictvonline.org/taxonomyHistory.asp?taxnode_id=20172678","ICTVonline=20172678")</f>
        <v>ICTVonline=20172678</v>
      </c>
      <c r="L2562" s="3">
        <v>2561</v>
      </c>
    </row>
    <row r="2563" spans="1:12" x14ac:dyDescent="0.15">
      <c r="A2563" s="1" t="s">
        <v>908</v>
      </c>
      <c r="B2563" s="1" t="s">
        <v>1742</v>
      </c>
      <c r="D2563" s="1" t="s">
        <v>1743</v>
      </c>
      <c r="E2563" s="1" t="s">
        <v>4863</v>
      </c>
      <c r="F2563" s="3">
        <v>0</v>
      </c>
      <c r="G2563" s="8" t="s">
        <v>2771</v>
      </c>
      <c r="H2563" s="8" t="s">
        <v>5159</v>
      </c>
      <c r="I2563" s="3">
        <v>31</v>
      </c>
      <c r="J2563" s="3" t="s">
        <v>6001</v>
      </c>
      <c r="K2563" s="17" t="str">
        <f>HYPERLINK("http://ictvonline.org/taxonomyHistory.asp?taxnode_id=20172679","ICTVonline=20172679")</f>
        <v>ICTVonline=20172679</v>
      </c>
      <c r="L2563" s="3">
        <v>2562</v>
      </c>
    </row>
    <row r="2564" spans="1:12" x14ac:dyDescent="0.15">
      <c r="A2564" s="1" t="s">
        <v>908</v>
      </c>
      <c r="B2564" s="1" t="s">
        <v>1742</v>
      </c>
      <c r="D2564" s="1" t="s">
        <v>1743</v>
      </c>
      <c r="E2564" s="1" t="s">
        <v>2240</v>
      </c>
      <c r="F2564" s="3">
        <v>0</v>
      </c>
      <c r="G2564" s="8" t="s">
        <v>2771</v>
      </c>
      <c r="H2564" s="8" t="s">
        <v>5159</v>
      </c>
      <c r="I2564" s="3">
        <v>27</v>
      </c>
      <c r="J2564" s="3" t="s">
        <v>5999</v>
      </c>
      <c r="K2564" s="17" t="str">
        <f>HYPERLINK("http://ictvonline.org/taxonomyHistory.asp?taxnode_id=20172680","ICTVonline=20172680")</f>
        <v>ICTVonline=20172680</v>
      </c>
      <c r="L2564" s="3">
        <v>2563</v>
      </c>
    </row>
    <row r="2565" spans="1:12" x14ac:dyDescent="0.15">
      <c r="A2565" s="1" t="s">
        <v>908</v>
      </c>
      <c r="B2565" s="1" t="s">
        <v>1742</v>
      </c>
      <c r="D2565" s="1" t="s">
        <v>1743</v>
      </c>
      <c r="E2565" s="1" t="s">
        <v>1769</v>
      </c>
      <c r="F2565" s="3">
        <v>0</v>
      </c>
      <c r="G2565" s="8" t="s">
        <v>2771</v>
      </c>
      <c r="H2565" s="8" t="s">
        <v>5161</v>
      </c>
      <c r="I2565" s="3">
        <v>24</v>
      </c>
      <c r="J2565" s="3" t="s">
        <v>5997</v>
      </c>
      <c r="K2565" s="17" t="str">
        <f>HYPERLINK("http://ictvonline.org/taxonomyHistory.asp?taxnode_id=20172681","ICTVonline=20172681")</f>
        <v>ICTVonline=20172681</v>
      </c>
      <c r="L2565" s="3">
        <v>2564</v>
      </c>
    </row>
    <row r="2566" spans="1:12" x14ac:dyDescent="0.15">
      <c r="A2566" s="1" t="s">
        <v>908</v>
      </c>
      <c r="B2566" s="1" t="s">
        <v>1742</v>
      </c>
      <c r="D2566" s="1" t="s">
        <v>1743</v>
      </c>
      <c r="E2566" s="1" t="s">
        <v>4864</v>
      </c>
      <c r="F2566" s="3">
        <v>0</v>
      </c>
      <c r="G2566" s="8" t="s">
        <v>2771</v>
      </c>
      <c r="H2566" s="8" t="s">
        <v>5159</v>
      </c>
      <c r="I2566" s="3">
        <v>31</v>
      </c>
      <c r="J2566" s="3" t="s">
        <v>6001</v>
      </c>
      <c r="K2566" s="17" t="str">
        <f>HYPERLINK("http://ictvonline.org/taxonomyHistory.asp?taxnode_id=20172682","ICTVonline=20172682")</f>
        <v>ICTVonline=20172682</v>
      </c>
      <c r="L2566" s="3">
        <v>2565</v>
      </c>
    </row>
    <row r="2567" spans="1:12" x14ac:dyDescent="0.15">
      <c r="A2567" s="1" t="s">
        <v>908</v>
      </c>
      <c r="B2567" s="1" t="s">
        <v>1742</v>
      </c>
      <c r="D2567" s="1" t="s">
        <v>1743</v>
      </c>
      <c r="E2567" s="1" t="s">
        <v>704</v>
      </c>
      <c r="F2567" s="3">
        <v>0</v>
      </c>
      <c r="G2567" s="8" t="s">
        <v>2771</v>
      </c>
      <c r="H2567" s="8" t="s">
        <v>5161</v>
      </c>
      <c r="I2567" s="3">
        <v>24</v>
      </c>
      <c r="J2567" s="3" t="s">
        <v>5997</v>
      </c>
      <c r="K2567" s="17" t="str">
        <f>HYPERLINK("http://ictvonline.org/taxonomyHistory.asp?taxnode_id=20172683","ICTVonline=20172683")</f>
        <v>ICTVonline=20172683</v>
      </c>
      <c r="L2567" s="3">
        <v>2566</v>
      </c>
    </row>
    <row r="2568" spans="1:12" x14ac:dyDescent="0.15">
      <c r="A2568" s="1" t="s">
        <v>908</v>
      </c>
      <c r="B2568" s="1" t="s">
        <v>1742</v>
      </c>
      <c r="D2568" s="1" t="s">
        <v>1743</v>
      </c>
      <c r="E2568" s="1" t="s">
        <v>705</v>
      </c>
      <c r="F2568" s="3">
        <v>0</v>
      </c>
      <c r="G2568" s="8" t="s">
        <v>2771</v>
      </c>
      <c r="H2568" s="8" t="s">
        <v>5161</v>
      </c>
      <c r="I2568" s="3">
        <v>24</v>
      </c>
      <c r="J2568" s="3" t="s">
        <v>5997</v>
      </c>
      <c r="K2568" s="17" t="str">
        <f>HYPERLINK("http://ictvonline.org/taxonomyHistory.asp?taxnode_id=20172684","ICTVonline=20172684")</f>
        <v>ICTVonline=20172684</v>
      </c>
      <c r="L2568" s="3">
        <v>2567</v>
      </c>
    </row>
    <row r="2569" spans="1:12" x14ac:dyDescent="0.15">
      <c r="A2569" s="1" t="s">
        <v>908</v>
      </c>
      <c r="B2569" s="1" t="s">
        <v>1742</v>
      </c>
      <c r="D2569" s="1" t="s">
        <v>1743</v>
      </c>
      <c r="E2569" s="1" t="s">
        <v>706</v>
      </c>
      <c r="F2569" s="3">
        <v>0</v>
      </c>
      <c r="G2569" s="8" t="s">
        <v>2771</v>
      </c>
      <c r="H2569" s="8" t="s">
        <v>5161</v>
      </c>
      <c r="I2569" s="3">
        <v>24</v>
      </c>
      <c r="J2569" s="3" t="s">
        <v>5997</v>
      </c>
      <c r="K2569" s="17" t="str">
        <f>HYPERLINK("http://ictvonline.org/taxonomyHistory.asp?taxnode_id=20172685","ICTVonline=20172685")</f>
        <v>ICTVonline=20172685</v>
      </c>
      <c r="L2569" s="3">
        <v>2568</v>
      </c>
    </row>
    <row r="2570" spans="1:12" x14ac:dyDescent="0.15">
      <c r="A2570" s="1" t="s">
        <v>908</v>
      </c>
      <c r="B2570" s="1" t="s">
        <v>1742</v>
      </c>
      <c r="D2570" s="1" t="s">
        <v>1743</v>
      </c>
      <c r="E2570" s="1" t="s">
        <v>2241</v>
      </c>
      <c r="F2570" s="3">
        <v>0</v>
      </c>
      <c r="G2570" s="8" t="s">
        <v>2771</v>
      </c>
      <c r="H2570" s="8" t="s">
        <v>5159</v>
      </c>
      <c r="I2570" s="3">
        <v>27</v>
      </c>
      <c r="J2570" s="3" t="s">
        <v>5999</v>
      </c>
      <c r="K2570" s="17" t="str">
        <f>HYPERLINK("http://ictvonline.org/taxonomyHistory.asp?taxnode_id=20172686","ICTVonline=20172686")</f>
        <v>ICTVonline=20172686</v>
      </c>
      <c r="L2570" s="3">
        <v>2569</v>
      </c>
    </row>
    <row r="2571" spans="1:12" x14ac:dyDescent="0.15">
      <c r="A2571" s="1" t="s">
        <v>908</v>
      </c>
      <c r="B2571" s="1" t="s">
        <v>1742</v>
      </c>
      <c r="D2571" s="1" t="s">
        <v>1743</v>
      </c>
      <c r="E2571" s="1" t="s">
        <v>4865</v>
      </c>
      <c r="F2571" s="3">
        <v>0</v>
      </c>
      <c r="G2571" s="8" t="s">
        <v>2771</v>
      </c>
      <c r="H2571" s="8" t="s">
        <v>5159</v>
      </c>
      <c r="I2571" s="3">
        <v>31</v>
      </c>
      <c r="J2571" s="3" t="s">
        <v>6001</v>
      </c>
      <c r="K2571" s="17" t="str">
        <f>HYPERLINK("http://ictvonline.org/taxonomyHistory.asp?taxnode_id=20172687","ICTVonline=20172687")</f>
        <v>ICTVonline=20172687</v>
      </c>
      <c r="L2571" s="3">
        <v>2570</v>
      </c>
    </row>
    <row r="2572" spans="1:12" x14ac:dyDescent="0.15">
      <c r="A2572" s="1" t="s">
        <v>908</v>
      </c>
      <c r="B2572" s="1" t="s">
        <v>1742</v>
      </c>
      <c r="D2572" s="1" t="s">
        <v>1743</v>
      </c>
      <c r="E2572" s="1" t="s">
        <v>707</v>
      </c>
      <c r="F2572" s="3">
        <v>0</v>
      </c>
      <c r="G2572" s="8" t="s">
        <v>2771</v>
      </c>
      <c r="H2572" s="8" t="s">
        <v>5161</v>
      </c>
      <c r="I2572" s="3">
        <v>24</v>
      </c>
      <c r="J2572" s="3" t="s">
        <v>5997</v>
      </c>
      <c r="K2572" s="17" t="str">
        <f>HYPERLINK("http://ictvonline.org/taxonomyHistory.asp?taxnode_id=20172688","ICTVonline=20172688")</f>
        <v>ICTVonline=20172688</v>
      </c>
      <c r="L2572" s="3">
        <v>2571</v>
      </c>
    </row>
    <row r="2573" spans="1:12" x14ac:dyDescent="0.15">
      <c r="A2573" s="1" t="s">
        <v>908</v>
      </c>
      <c r="B2573" s="1" t="s">
        <v>1742</v>
      </c>
      <c r="D2573" s="1" t="s">
        <v>1743</v>
      </c>
      <c r="E2573" s="1" t="s">
        <v>708</v>
      </c>
      <c r="F2573" s="3">
        <v>0</v>
      </c>
      <c r="G2573" s="8" t="s">
        <v>2771</v>
      </c>
      <c r="H2573" s="8" t="s">
        <v>5161</v>
      </c>
      <c r="I2573" s="3">
        <v>24</v>
      </c>
      <c r="J2573" s="3" t="s">
        <v>5997</v>
      </c>
      <c r="K2573" s="17" t="str">
        <f>HYPERLINK("http://ictvonline.org/taxonomyHistory.asp?taxnode_id=20172689","ICTVonline=20172689")</f>
        <v>ICTVonline=20172689</v>
      </c>
      <c r="L2573" s="3">
        <v>2572</v>
      </c>
    </row>
    <row r="2574" spans="1:12" x14ac:dyDescent="0.15">
      <c r="A2574" s="1" t="s">
        <v>908</v>
      </c>
      <c r="B2574" s="1" t="s">
        <v>1742</v>
      </c>
      <c r="D2574" s="1" t="s">
        <v>1743</v>
      </c>
      <c r="E2574" s="1" t="s">
        <v>811</v>
      </c>
      <c r="F2574" s="3">
        <v>0</v>
      </c>
      <c r="G2574" s="8" t="s">
        <v>2771</v>
      </c>
      <c r="H2574" s="8" t="s">
        <v>5161</v>
      </c>
      <c r="I2574" s="3">
        <v>24</v>
      </c>
      <c r="J2574" s="3" t="s">
        <v>5997</v>
      </c>
      <c r="K2574" s="17" t="str">
        <f>HYPERLINK("http://ictvonline.org/taxonomyHistory.asp?taxnode_id=20172690","ICTVonline=20172690")</f>
        <v>ICTVonline=20172690</v>
      </c>
      <c r="L2574" s="3">
        <v>2573</v>
      </c>
    </row>
    <row r="2575" spans="1:12" x14ac:dyDescent="0.15">
      <c r="A2575" s="1" t="s">
        <v>908</v>
      </c>
      <c r="B2575" s="1" t="s">
        <v>1742</v>
      </c>
      <c r="D2575" s="1" t="s">
        <v>1743</v>
      </c>
      <c r="E2575" s="1" t="s">
        <v>812</v>
      </c>
      <c r="F2575" s="3">
        <v>0</v>
      </c>
      <c r="G2575" s="8" t="s">
        <v>2771</v>
      </c>
      <c r="H2575" s="8" t="s">
        <v>5161</v>
      </c>
      <c r="I2575" s="3">
        <v>24</v>
      </c>
      <c r="J2575" s="3" t="s">
        <v>5997</v>
      </c>
      <c r="K2575" s="17" t="str">
        <f>HYPERLINK("http://ictvonline.org/taxonomyHistory.asp?taxnode_id=20172691","ICTVonline=20172691")</f>
        <v>ICTVonline=20172691</v>
      </c>
      <c r="L2575" s="3">
        <v>2574</v>
      </c>
    </row>
    <row r="2576" spans="1:12" x14ac:dyDescent="0.15">
      <c r="A2576" s="1" t="s">
        <v>908</v>
      </c>
      <c r="B2576" s="1" t="s">
        <v>1742</v>
      </c>
      <c r="D2576" s="1" t="s">
        <v>1743</v>
      </c>
      <c r="E2576" s="1" t="s">
        <v>813</v>
      </c>
      <c r="F2576" s="3">
        <v>0</v>
      </c>
      <c r="G2576" s="8" t="s">
        <v>2771</v>
      </c>
      <c r="H2576" s="8" t="s">
        <v>5161</v>
      </c>
      <c r="I2576" s="3">
        <v>24</v>
      </c>
      <c r="J2576" s="3" t="s">
        <v>5997</v>
      </c>
      <c r="K2576" s="17" t="str">
        <f>HYPERLINK("http://ictvonline.org/taxonomyHistory.asp?taxnode_id=20172692","ICTVonline=20172692")</f>
        <v>ICTVonline=20172692</v>
      </c>
      <c r="L2576" s="3">
        <v>2575</v>
      </c>
    </row>
    <row r="2577" spans="1:12" x14ac:dyDescent="0.15">
      <c r="A2577" s="1" t="s">
        <v>908</v>
      </c>
      <c r="B2577" s="1" t="s">
        <v>1742</v>
      </c>
      <c r="D2577" s="1" t="s">
        <v>1743</v>
      </c>
      <c r="E2577" s="1" t="s">
        <v>3826</v>
      </c>
      <c r="F2577" s="3">
        <v>0</v>
      </c>
      <c r="G2577" s="8" t="s">
        <v>2771</v>
      </c>
      <c r="H2577" s="8" t="s">
        <v>5159</v>
      </c>
      <c r="I2577" s="3">
        <v>30</v>
      </c>
      <c r="J2577" s="3" t="s">
        <v>6004</v>
      </c>
      <c r="K2577" s="17" t="str">
        <f>HYPERLINK("http://ictvonline.org/taxonomyHistory.asp?taxnode_id=20172693","ICTVonline=20172693")</f>
        <v>ICTVonline=20172693</v>
      </c>
      <c r="L2577" s="3">
        <v>2576</v>
      </c>
    </row>
    <row r="2578" spans="1:12" x14ac:dyDescent="0.15">
      <c r="A2578" s="1" t="s">
        <v>908</v>
      </c>
      <c r="B2578" s="1" t="s">
        <v>1742</v>
      </c>
      <c r="D2578" s="1" t="s">
        <v>1743</v>
      </c>
      <c r="E2578" s="1" t="s">
        <v>814</v>
      </c>
      <c r="F2578" s="3">
        <v>0</v>
      </c>
      <c r="G2578" s="8" t="s">
        <v>2771</v>
      </c>
      <c r="H2578" s="8" t="s">
        <v>5161</v>
      </c>
      <c r="I2578" s="3">
        <v>24</v>
      </c>
      <c r="J2578" s="3" t="s">
        <v>5997</v>
      </c>
      <c r="K2578" s="17" t="str">
        <f>HYPERLINK("http://ictvonline.org/taxonomyHistory.asp?taxnode_id=20172694","ICTVonline=20172694")</f>
        <v>ICTVonline=20172694</v>
      </c>
      <c r="L2578" s="3">
        <v>2577</v>
      </c>
    </row>
    <row r="2579" spans="1:12" x14ac:dyDescent="0.15">
      <c r="A2579" s="1" t="s">
        <v>908</v>
      </c>
      <c r="B2579" s="1" t="s">
        <v>1742</v>
      </c>
      <c r="D2579" s="1" t="s">
        <v>1743</v>
      </c>
      <c r="E2579" s="1" t="s">
        <v>815</v>
      </c>
      <c r="F2579" s="3">
        <v>0</v>
      </c>
      <c r="G2579" s="8" t="s">
        <v>2771</v>
      </c>
      <c r="H2579" s="8" t="s">
        <v>5161</v>
      </c>
      <c r="I2579" s="3">
        <v>24</v>
      </c>
      <c r="J2579" s="3" t="s">
        <v>5997</v>
      </c>
      <c r="K2579" s="17" t="str">
        <f>HYPERLINK("http://ictvonline.org/taxonomyHistory.asp?taxnode_id=20172695","ICTVonline=20172695")</f>
        <v>ICTVonline=20172695</v>
      </c>
      <c r="L2579" s="3">
        <v>2578</v>
      </c>
    </row>
    <row r="2580" spans="1:12" x14ac:dyDescent="0.15">
      <c r="A2580" s="1" t="s">
        <v>908</v>
      </c>
      <c r="B2580" s="1" t="s">
        <v>1742</v>
      </c>
      <c r="D2580" s="1" t="s">
        <v>1743</v>
      </c>
      <c r="E2580" s="1" t="s">
        <v>1171</v>
      </c>
      <c r="F2580" s="3">
        <v>0</v>
      </c>
      <c r="G2580" s="8" t="s">
        <v>2771</v>
      </c>
      <c r="H2580" s="8" t="s">
        <v>5161</v>
      </c>
      <c r="I2580" s="3">
        <v>24</v>
      </c>
      <c r="J2580" s="3" t="s">
        <v>5997</v>
      </c>
      <c r="K2580" s="17" t="str">
        <f>HYPERLINK("http://ictvonline.org/taxonomyHistory.asp?taxnode_id=20172696","ICTVonline=20172696")</f>
        <v>ICTVonline=20172696</v>
      </c>
      <c r="L2580" s="3">
        <v>2579</v>
      </c>
    </row>
    <row r="2581" spans="1:12" x14ac:dyDescent="0.15">
      <c r="A2581" s="1" t="s">
        <v>908</v>
      </c>
      <c r="B2581" s="1" t="s">
        <v>1742</v>
      </c>
      <c r="D2581" s="1" t="s">
        <v>1172</v>
      </c>
      <c r="E2581" s="1" t="s">
        <v>1173</v>
      </c>
      <c r="F2581" s="3">
        <v>0</v>
      </c>
      <c r="G2581" s="8" t="s">
        <v>2771</v>
      </c>
      <c r="H2581" s="8" t="s">
        <v>5161</v>
      </c>
      <c r="I2581" s="3">
        <v>24</v>
      </c>
      <c r="J2581" s="3" t="s">
        <v>6005</v>
      </c>
      <c r="K2581" s="17" t="str">
        <f>HYPERLINK("http://ictvonline.org/taxonomyHistory.asp?taxnode_id=20172698","ICTVonline=20172698")</f>
        <v>ICTVonline=20172698</v>
      </c>
      <c r="L2581" s="3">
        <v>2580</v>
      </c>
    </row>
    <row r="2582" spans="1:12" x14ac:dyDescent="0.15">
      <c r="A2582" s="1" t="s">
        <v>908</v>
      </c>
      <c r="B2582" s="1" t="s">
        <v>1742</v>
      </c>
      <c r="D2582" s="1" t="s">
        <v>1172</v>
      </c>
      <c r="E2582" s="1" t="s">
        <v>3827</v>
      </c>
      <c r="F2582" s="3">
        <v>0</v>
      </c>
      <c r="G2582" s="8" t="s">
        <v>2771</v>
      </c>
      <c r="H2582" s="8" t="s">
        <v>5159</v>
      </c>
      <c r="I2582" s="3">
        <v>30</v>
      </c>
      <c r="J2582" s="3" t="s">
        <v>6006</v>
      </c>
      <c r="K2582" s="17" t="str">
        <f>HYPERLINK("http://ictvonline.org/taxonomyHistory.asp?taxnode_id=20172699","ICTVonline=20172699")</f>
        <v>ICTVonline=20172699</v>
      </c>
      <c r="L2582" s="3">
        <v>2581</v>
      </c>
    </row>
    <row r="2583" spans="1:12" x14ac:dyDescent="0.15">
      <c r="A2583" s="1" t="s">
        <v>908</v>
      </c>
      <c r="B2583" s="1" t="s">
        <v>1742</v>
      </c>
      <c r="D2583" s="1" t="s">
        <v>1172</v>
      </c>
      <c r="E2583" s="1" t="s">
        <v>1174</v>
      </c>
      <c r="F2583" s="3">
        <v>0</v>
      </c>
      <c r="G2583" s="8" t="s">
        <v>2771</v>
      </c>
      <c r="H2583" s="8" t="s">
        <v>5161</v>
      </c>
      <c r="I2583" s="3">
        <v>24</v>
      </c>
      <c r="J2583" s="3" t="s">
        <v>6005</v>
      </c>
      <c r="K2583" s="17" t="str">
        <f>HYPERLINK("http://ictvonline.org/taxonomyHistory.asp?taxnode_id=20172700","ICTVonline=20172700")</f>
        <v>ICTVonline=20172700</v>
      </c>
      <c r="L2583" s="3">
        <v>2582</v>
      </c>
    </row>
    <row r="2584" spans="1:12" x14ac:dyDescent="0.15">
      <c r="A2584" s="1" t="s">
        <v>908</v>
      </c>
      <c r="B2584" s="1" t="s">
        <v>1742</v>
      </c>
      <c r="D2584" s="1" t="s">
        <v>1172</v>
      </c>
      <c r="E2584" s="1" t="s">
        <v>1175</v>
      </c>
      <c r="F2584" s="3">
        <v>0</v>
      </c>
      <c r="G2584" s="8" t="s">
        <v>2771</v>
      </c>
      <c r="H2584" s="8" t="s">
        <v>5161</v>
      </c>
      <c r="I2584" s="3">
        <v>24</v>
      </c>
      <c r="J2584" s="3" t="s">
        <v>6005</v>
      </c>
      <c r="K2584" s="17" t="str">
        <f>HYPERLINK("http://ictvonline.org/taxonomyHistory.asp?taxnode_id=20172701","ICTVonline=20172701")</f>
        <v>ICTVonline=20172701</v>
      </c>
      <c r="L2584" s="3">
        <v>2583</v>
      </c>
    </row>
    <row r="2585" spans="1:12" x14ac:dyDescent="0.15">
      <c r="A2585" s="1" t="s">
        <v>908</v>
      </c>
      <c r="B2585" s="1" t="s">
        <v>1742</v>
      </c>
      <c r="D2585" s="1" t="s">
        <v>1172</v>
      </c>
      <c r="E2585" s="1" t="s">
        <v>4866</v>
      </c>
      <c r="F2585" s="3">
        <v>0</v>
      </c>
      <c r="G2585" s="8" t="s">
        <v>2771</v>
      </c>
      <c r="H2585" s="8" t="s">
        <v>5159</v>
      </c>
      <c r="I2585" s="3">
        <v>31</v>
      </c>
      <c r="J2585" s="3" t="s">
        <v>6007</v>
      </c>
      <c r="K2585" s="17" t="str">
        <f>HYPERLINK("http://ictvonline.org/taxonomyHistory.asp?taxnode_id=20172702","ICTVonline=20172702")</f>
        <v>ICTVonline=20172702</v>
      </c>
      <c r="L2585" s="3">
        <v>2584</v>
      </c>
    </row>
    <row r="2586" spans="1:12" x14ac:dyDescent="0.15">
      <c r="A2586" s="1" t="s">
        <v>908</v>
      </c>
      <c r="B2586" s="1" t="s">
        <v>1742</v>
      </c>
      <c r="D2586" s="1" t="s">
        <v>1172</v>
      </c>
      <c r="E2586" s="1" t="s">
        <v>4867</v>
      </c>
      <c r="F2586" s="3">
        <v>0</v>
      </c>
      <c r="G2586" s="8" t="s">
        <v>2771</v>
      </c>
      <c r="H2586" s="8" t="s">
        <v>5159</v>
      </c>
      <c r="I2586" s="3">
        <v>31</v>
      </c>
      <c r="J2586" s="3" t="s">
        <v>6007</v>
      </c>
      <c r="K2586" s="17" t="str">
        <f>HYPERLINK("http://ictvonline.org/taxonomyHistory.asp?taxnode_id=20172703","ICTVonline=20172703")</f>
        <v>ICTVonline=20172703</v>
      </c>
      <c r="L2586" s="3">
        <v>2585</v>
      </c>
    </row>
    <row r="2587" spans="1:12" x14ac:dyDescent="0.15">
      <c r="A2587" s="1" t="s">
        <v>908</v>
      </c>
      <c r="B2587" s="1" t="s">
        <v>1742</v>
      </c>
      <c r="D2587" s="1" t="s">
        <v>1172</v>
      </c>
      <c r="E2587" s="1" t="s">
        <v>4868</v>
      </c>
      <c r="F2587" s="3">
        <v>0</v>
      </c>
      <c r="G2587" s="8" t="s">
        <v>2771</v>
      </c>
      <c r="H2587" s="8" t="s">
        <v>5159</v>
      </c>
      <c r="I2587" s="3">
        <v>31</v>
      </c>
      <c r="J2587" s="3" t="s">
        <v>6007</v>
      </c>
      <c r="K2587" s="17" t="str">
        <f>HYPERLINK("http://ictvonline.org/taxonomyHistory.asp?taxnode_id=20172704","ICTVonline=20172704")</f>
        <v>ICTVonline=20172704</v>
      </c>
      <c r="L2587" s="3">
        <v>2586</v>
      </c>
    </row>
    <row r="2588" spans="1:12" x14ac:dyDescent="0.15">
      <c r="A2588" s="1" t="s">
        <v>908</v>
      </c>
      <c r="B2588" s="1" t="s">
        <v>1742</v>
      </c>
      <c r="D2588" s="1" t="s">
        <v>1172</v>
      </c>
      <c r="E2588" s="1" t="s">
        <v>6008</v>
      </c>
      <c r="F2588" s="3">
        <v>0</v>
      </c>
      <c r="G2588" s="8" t="s">
        <v>2771</v>
      </c>
      <c r="H2588" s="8" t="s">
        <v>5159</v>
      </c>
      <c r="I2588" s="3">
        <v>32</v>
      </c>
      <c r="J2588" s="3" t="s">
        <v>6009</v>
      </c>
      <c r="K2588" s="17" t="str">
        <f>HYPERLINK("http://ictvonline.org/taxonomyHistory.asp?taxnode_id=20175756","ICTVonline=20175756")</f>
        <v>ICTVonline=20175756</v>
      </c>
      <c r="L2588" s="3">
        <v>2587</v>
      </c>
    </row>
    <row r="2589" spans="1:12" x14ac:dyDescent="0.15">
      <c r="A2589" s="1" t="s">
        <v>908</v>
      </c>
      <c r="B2589" s="1" t="s">
        <v>1742</v>
      </c>
      <c r="D2589" s="1" t="s">
        <v>1172</v>
      </c>
      <c r="E2589" s="1" t="s">
        <v>711</v>
      </c>
      <c r="F2589" s="3">
        <v>0</v>
      </c>
      <c r="G2589" s="8" t="s">
        <v>2771</v>
      </c>
      <c r="H2589" s="8" t="s">
        <v>5161</v>
      </c>
      <c r="I2589" s="3">
        <v>24</v>
      </c>
      <c r="J2589" s="3" t="s">
        <v>6005</v>
      </c>
      <c r="K2589" s="17" t="str">
        <f>HYPERLINK("http://ictvonline.org/taxonomyHistory.asp?taxnode_id=20172705","ICTVonline=20172705")</f>
        <v>ICTVonline=20172705</v>
      </c>
      <c r="L2589" s="3">
        <v>2588</v>
      </c>
    </row>
    <row r="2590" spans="1:12" x14ac:dyDescent="0.15">
      <c r="A2590" s="1" t="s">
        <v>908</v>
      </c>
      <c r="B2590" s="1" t="s">
        <v>1742</v>
      </c>
      <c r="D2590" s="1" t="s">
        <v>1172</v>
      </c>
      <c r="E2590" s="1" t="s">
        <v>712</v>
      </c>
      <c r="F2590" s="3">
        <v>1</v>
      </c>
      <c r="G2590" s="8" t="s">
        <v>2771</v>
      </c>
      <c r="H2590" s="8" t="s">
        <v>5161</v>
      </c>
      <c r="I2590" s="3">
        <v>24</v>
      </c>
      <c r="J2590" s="3" t="s">
        <v>6005</v>
      </c>
      <c r="K2590" s="17" t="str">
        <f>HYPERLINK("http://ictvonline.org/taxonomyHistory.asp?taxnode_id=20172706","ICTVonline=20172706")</f>
        <v>ICTVonline=20172706</v>
      </c>
      <c r="L2590" s="3">
        <v>2589</v>
      </c>
    </row>
    <row r="2591" spans="1:12" x14ac:dyDescent="0.15">
      <c r="A2591" s="1" t="s">
        <v>908</v>
      </c>
      <c r="B2591" s="1" t="s">
        <v>1742</v>
      </c>
      <c r="D2591" s="1" t="s">
        <v>1172</v>
      </c>
      <c r="E2591" s="1" t="s">
        <v>4869</v>
      </c>
      <c r="F2591" s="3">
        <v>0</v>
      </c>
      <c r="G2591" s="8" t="s">
        <v>2771</v>
      </c>
      <c r="H2591" s="8" t="s">
        <v>5159</v>
      </c>
      <c r="I2591" s="3">
        <v>31</v>
      </c>
      <c r="J2591" s="3" t="s">
        <v>6007</v>
      </c>
      <c r="K2591" s="17" t="str">
        <f>HYPERLINK("http://ictvonline.org/taxonomyHistory.asp?taxnode_id=20172707","ICTVonline=20172707")</f>
        <v>ICTVonline=20172707</v>
      </c>
      <c r="L2591" s="3">
        <v>2590</v>
      </c>
    </row>
    <row r="2592" spans="1:12" x14ac:dyDescent="0.15">
      <c r="A2592" s="1" t="s">
        <v>908</v>
      </c>
      <c r="B2592" s="1" t="s">
        <v>1742</v>
      </c>
      <c r="D2592" s="1" t="s">
        <v>1172</v>
      </c>
      <c r="E2592" s="1" t="s">
        <v>4870</v>
      </c>
      <c r="F2592" s="3">
        <v>0</v>
      </c>
      <c r="G2592" s="8" t="s">
        <v>2771</v>
      </c>
      <c r="H2592" s="8" t="s">
        <v>5159</v>
      </c>
      <c r="I2592" s="3">
        <v>31</v>
      </c>
      <c r="J2592" s="3" t="s">
        <v>6007</v>
      </c>
      <c r="K2592" s="17" t="str">
        <f>HYPERLINK("http://ictvonline.org/taxonomyHistory.asp?taxnode_id=20172708","ICTVonline=20172708")</f>
        <v>ICTVonline=20172708</v>
      </c>
      <c r="L2592" s="3">
        <v>2591</v>
      </c>
    </row>
    <row r="2593" spans="1:12" x14ac:dyDescent="0.15">
      <c r="A2593" s="1" t="s">
        <v>908</v>
      </c>
      <c r="B2593" s="1" t="s">
        <v>1742</v>
      </c>
      <c r="D2593" s="1" t="s">
        <v>1172</v>
      </c>
      <c r="E2593" s="1" t="s">
        <v>3828</v>
      </c>
      <c r="F2593" s="3">
        <v>0</v>
      </c>
      <c r="G2593" s="8" t="s">
        <v>2771</v>
      </c>
      <c r="H2593" s="8" t="s">
        <v>5159</v>
      </c>
      <c r="I2593" s="3">
        <v>30</v>
      </c>
      <c r="J2593" s="3" t="s">
        <v>6010</v>
      </c>
      <c r="K2593" s="17" t="str">
        <f>HYPERLINK("http://ictvonline.org/taxonomyHistory.asp?taxnode_id=20172709","ICTVonline=20172709")</f>
        <v>ICTVonline=20172709</v>
      </c>
      <c r="L2593" s="3">
        <v>2592</v>
      </c>
    </row>
    <row r="2594" spans="1:12" x14ac:dyDescent="0.15">
      <c r="A2594" s="1" t="s">
        <v>908</v>
      </c>
      <c r="B2594" s="1" t="s">
        <v>1742</v>
      </c>
      <c r="D2594" s="1" t="s">
        <v>1172</v>
      </c>
      <c r="E2594" s="1" t="s">
        <v>710</v>
      </c>
      <c r="F2594" s="3">
        <v>0</v>
      </c>
      <c r="G2594" s="8" t="s">
        <v>2771</v>
      </c>
      <c r="H2594" s="8" t="s">
        <v>5161</v>
      </c>
      <c r="I2594" s="3">
        <v>24</v>
      </c>
      <c r="J2594" s="3" t="s">
        <v>6005</v>
      </c>
      <c r="K2594" s="17" t="str">
        <f>HYPERLINK("http://ictvonline.org/taxonomyHistory.asp?taxnode_id=20172710","ICTVonline=20172710")</f>
        <v>ICTVonline=20172710</v>
      </c>
      <c r="L2594" s="3">
        <v>2593</v>
      </c>
    </row>
    <row r="2595" spans="1:12" x14ac:dyDescent="0.15">
      <c r="A2595" s="1" t="s">
        <v>908</v>
      </c>
      <c r="B2595" s="1" t="s">
        <v>1742</v>
      </c>
      <c r="D2595" s="1" t="s">
        <v>1172</v>
      </c>
      <c r="E2595" s="1" t="s">
        <v>714</v>
      </c>
      <c r="F2595" s="3">
        <v>0</v>
      </c>
      <c r="G2595" s="8" t="s">
        <v>2771</v>
      </c>
      <c r="H2595" s="8" t="s">
        <v>5161</v>
      </c>
      <c r="I2595" s="3">
        <v>24</v>
      </c>
      <c r="J2595" s="3" t="s">
        <v>6005</v>
      </c>
      <c r="K2595" s="17" t="str">
        <f>HYPERLINK("http://ictvonline.org/taxonomyHistory.asp?taxnode_id=20172711","ICTVonline=20172711")</f>
        <v>ICTVonline=20172711</v>
      </c>
      <c r="L2595" s="3">
        <v>2594</v>
      </c>
    </row>
    <row r="2596" spans="1:12" x14ac:dyDescent="0.15">
      <c r="A2596" s="1" t="s">
        <v>908</v>
      </c>
      <c r="B2596" s="1" t="s">
        <v>1742</v>
      </c>
      <c r="D2596" s="1" t="s">
        <v>1172</v>
      </c>
      <c r="E2596" s="1" t="s">
        <v>1773</v>
      </c>
      <c r="F2596" s="3">
        <v>0</v>
      </c>
      <c r="G2596" s="8" t="s">
        <v>2771</v>
      </c>
      <c r="H2596" s="8" t="s">
        <v>5161</v>
      </c>
      <c r="I2596" s="3">
        <v>24</v>
      </c>
      <c r="J2596" s="3" t="s">
        <v>6005</v>
      </c>
      <c r="K2596" s="17" t="str">
        <f>HYPERLINK("http://ictvonline.org/taxonomyHistory.asp?taxnode_id=20172712","ICTVonline=20172712")</f>
        <v>ICTVonline=20172712</v>
      </c>
      <c r="L2596" s="3">
        <v>2595</v>
      </c>
    </row>
    <row r="2597" spans="1:12" x14ac:dyDescent="0.15">
      <c r="A2597" s="1" t="s">
        <v>908</v>
      </c>
      <c r="B2597" s="1" t="s">
        <v>1742</v>
      </c>
      <c r="D2597" s="1" t="s">
        <v>1172</v>
      </c>
      <c r="E2597" s="1" t="s">
        <v>6011</v>
      </c>
      <c r="F2597" s="3">
        <v>0</v>
      </c>
      <c r="G2597" s="8" t="s">
        <v>2771</v>
      </c>
      <c r="H2597" s="8" t="s">
        <v>5162</v>
      </c>
      <c r="I2597" s="3">
        <v>32</v>
      </c>
      <c r="J2597" s="3" t="s">
        <v>6009</v>
      </c>
      <c r="K2597" s="17" t="str">
        <f>HYPERLINK("http://ictvonline.org/taxonomyHistory.asp?taxnode_id=20172716","ICTVonline=20172716")</f>
        <v>ICTVonline=20172716</v>
      </c>
      <c r="L2597" s="3">
        <v>2596</v>
      </c>
    </row>
    <row r="2598" spans="1:12" x14ac:dyDescent="0.15">
      <c r="A2598" s="1" t="s">
        <v>908</v>
      </c>
      <c r="B2598" s="1" t="s">
        <v>1742</v>
      </c>
      <c r="D2598" s="1" t="s">
        <v>1172</v>
      </c>
      <c r="E2598" s="1" t="s">
        <v>6012</v>
      </c>
      <c r="F2598" s="3">
        <v>0</v>
      </c>
      <c r="G2598" s="8" t="s">
        <v>2771</v>
      </c>
      <c r="H2598" s="8" t="s">
        <v>5159</v>
      </c>
      <c r="I2598" s="3">
        <v>32</v>
      </c>
      <c r="J2598" s="3" t="s">
        <v>6009</v>
      </c>
      <c r="K2598" s="17" t="str">
        <f>HYPERLINK("http://ictvonline.org/taxonomyHistory.asp?taxnode_id=20175757","ICTVonline=20175757")</f>
        <v>ICTVonline=20175757</v>
      </c>
      <c r="L2598" s="3">
        <v>2597</v>
      </c>
    </row>
    <row r="2599" spans="1:12" x14ac:dyDescent="0.15">
      <c r="A2599" s="1" t="s">
        <v>908</v>
      </c>
      <c r="B2599" s="1" t="s">
        <v>1742</v>
      </c>
      <c r="D2599" s="1" t="s">
        <v>1172</v>
      </c>
      <c r="E2599" s="1" t="s">
        <v>1774</v>
      </c>
      <c r="F2599" s="3">
        <v>0</v>
      </c>
      <c r="G2599" s="8" t="s">
        <v>2771</v>
      </c>
      <c r="H2599" s="8" t="s">
        <v>5161</v>
      </c>
      <c r="I2599" s="3">
        <v>24</v>
      </c>
      <c r="J2599" s="3" t="s">
        <v>6005</v>
      </c>
      <c r="K2599" s="17" t="str">
        <f>HYPERLINK("http://ictvonline.org/taxonomyHistory.asp?taxnode_id=20172713","ICTVonline=20172713")</f>
        <v>ICTVonline=20172713</v>
      </c>
      <c r="L2599" s="3">
        <v>2598</v>
      </c>
    </row>
    <row r="2600" spans="1:12" x14ac:dyDescent="0.15">
      <c r="A2600" s="1" t="s">
        <v>908</v>
      </c>
      <c r="B2600" s="1" t="s">
        <v>1742</v>
      </c>
      <c r="D2600" s="1" t="s">
        <v>1172</v>
      </c>
      <c r="E2600" s="1" t="s">
        <v>627</v>
      </c>
      <c r="F2600" s="3">
        <v>0</v>
      </c>
      <c r="G2600" s="8" t="s">
        <v>2771</v>
      </c>
      <c r="H2600" s="8" t="s">
        <v>5161</v>
      </c>
      <c r="I2600" s="3">
        <v>24</v>
      </c>
      <c r="J2600" s="3" t="s">
        <v>6005</v>
      </c>
      <c r="K2600" s="17" t="str">
        <f>HYPERLINK("http://ictvonline.org/taxonomyHistory.asp?taxnode_id=20172714","ICTVonline=20172714")</f>
        <v>ICTVonline=20172714</v>
      </c>
      <c r="L2600" s="3">
        <v>2599</v>
      </c>
    </row>
    <row r="2601" spans="1:12" x14ac:dyDescent="0.15">
      <c r="A2601" s="1" t="s">
        <v>908</v>
      </c>
      <c r="B2601" s="1" t="s">
        <v>1742</v>
      </c>
      <c r="D2601" s="1" t="s">
        <v>1172</v>
      </c>
      <c r="E2601" s="1" t="s">
        <v>628</v>
      </c>
      <c r="F2601" s="3">
        <v>0</v>
      </c>
      <c r="G2601" s="8" t="s">
        <v>2771</v>
      </c>
      <c r="H2601" s="8" t="s">
        <v>5161</v>
      </c>
      <c r="I2601" s="3">
        <v>24</v>
      </c>
      <c r="J2601" s="3" t="s">
        <v>6005</v>
      </c>
      <c r="K2601" s="17" t="str">
        <f>HYPERLINK("http://ictvonline.org/taxonomyHistory.asp?taxnode_id=20172715","ICTVonline=20172715")</f>
        <v>ICTVonline=20172715</v>
      </c>
      <c r="L2601" s="3">
        <v>2600</v>
      </c>
    </row>
    <row r="2602" spans="1:12" x14ac:dyDescent="0.15">
      <c r="A2602" s="1" t="s">
        <v>908</v>
      </c>
      <c r="B2602" s="1" t="s">
        <v>1742</v>
      </c>
      <c r="D2602" s="1" t="s">
        <v>1172</v>
      </c>
      <c r="E2602" s="1" t="s">
        <v>3829</v>
      </c>
      <c r="F2602" s="3">
        <v>0</v>
      </c>
      <c r="G2602" s="8" t="s">
        <v>2771</v>
      </c>
      <c r="H2602" s="8" t="s">
        <v>5159</v>
      </c>
      <c r="I2602" s="3">
        <v>30</v>
      </c>
      <c r="J2602" s="3" t="s">
        <v>6013</v>
      </c>
      <c r="K2602" s="17" t="str">
        <f>HYPERLINK("http://ictvonline.org/taxonomyHistory.asp?taxnode_id=20172717","ICTVonline=20172717")</f>
        <v>ICTVonline=20172717</v>
      </c>
      <c r="L2602" s="3">
        <v>2601</v>
      </c>
    </row>
    <row r="2603" spans="1:12" x14ac:dyDescent="0.15">
      <c r="A2603" s="1" t="s">
        <v>908</v>
      </c>
      <c r="B2603" s="1" t="s">
        <v>1742</v>
      </c>
      <c r="D2603" s="1" t="s">
        <v>1172</v>
      </c>
      <c r="E2603" s="1" t="s">
        <v>4871</v>
      </c>
      <c r="F2603" s="3">
        <v>0</v>
      </c>
      <c r="G2603" s="8" t="s">
        <v>2771</v>
      </c>
      <c r="H2603" s="8" t="s">
        <v>5159</v>
      </c>
      <c r="I2603" s="3">
        <v>31</v>
      </c>
      <c r="J2603" s="3" t="s">
        <v>6007</v>
      </c>
      <c r="K2603" s="17" t="str">
        <f>HYPERLINK("http://ictvonline.org/taxonomyHistory.asp?taxnode_id=20172718","ICTVonline=20172718")</f>
        <v>ICTVonline=20172718</v>
      </c>
      <c r="L2603" s="3">
        <v>2602</v>
      </c>
    </row>
    <row r="2604" spans="1:12" x14ac:dyDescent="0.15">
      <c r="A2604" s="1" t="s">
        <v>908</v>
      </c>
      <c r="B2604" s="1" t="s">
        <v>1742</v>
      </c>
      <c r="D2604" s="1" t="s">
        <v>1172</v>
      </c>
      <c r="E2604" s="1" t="s">
        <v>1777</v>
      </c>
      <c r="F2604" s="3">
        <v>0</v>
      </c>
      <c r="G2604" s="8" t="s">
        <v>2771</v>
      </c>
      <c r="H2604" s="8" t="s">
        <v>5161</v>
      </c>
      <c r="I2604" s="3">
        <v>24</v>
      </c>
      <c r="J2604" s="3" t="s">
        <v>6005</v>
      </c>
      <c r="K2604" s="17" t="str">
        <f>HYPERLINK("http://ictvonline.org/taxonomyHistory.asp?taxnode_id=20172719","ICTVonline=20172719")</f>
        <v>ICTVonline=20172719</v>
      </c>
      <c r="L2604" s="3">
        <v>2603</v>
      </c>
    </row>
    <row r="2605" spans="1:12" x14ac:dyDescent="0.15">
      <c r="A2605" s="1" t="s">
        <v>908</v>
      </c>
      <c r="B2605" s="1" t="s">
        <v>1742</v>
      </c>
      <c r="D2605" s="1" t="s">
        <v>1172</v>
      </c>
      <c r="E2605" s="1" t="s">
        <v>1778</v>
      </c>
      <c r="F2605" s="3">
        <v>0</v>
      </c>
      <c r="G2605" s="8" t="s">
        <v>2771</v>
      </c>
      <c r="H2605" s="8" t="s">
        <v>5161</v>
      </c>
      <c r="I2605" s="3">
        <v>24</v>
      </c>
      <c r="J2605" s="3" t="s">
        <v>6005</v>
      </c>
      <c r="K2605" s="17" t="str">
        <f>HYPERLINK("http://ictvonline.org/taxonomyHistory.asp?taxnode_id=20172720","ICTVonline=20172720")</f>
        <v>ICTVonline=20172720</v>
      </c>
      <c r="L2605" s="3">
        <v>2604</v>
      </c>
    </row>
    <row r="2606" spans="1:12" x14ac:dyDescent="0.15">
      <c r="A2606" s="1" t="s">
        <v>908</v>
      </c>
      <c r="B2606" s="1" t="s">
        <v>1742</v>
      </c>
      <c r="D2606" s="1" t="s">
        <v>1779</v>
      </c>
      <c r="E2606" s="1" t="s">
        <v>632</v>
      </c>
      <c r="F2606" s="3">
        <v>1</v>
      </c>
      <c r="G2606" s="8" t="s">
        <v>2771</v>
      </c>
      <c r="H2606" s="8" t="s">
        <v>5165</v>
      </c>
      <c r="I2606" s="3">
        <v>24</v>
      </c>
      <c r="J2606" s="3" t="s">
        <v>6014</v>
      </c>
      <c r="K2606" s="17" t="str">
        <f>HYPERLINK("http://ictvonline.org/taxonomyHistory.asp?taxnode_id=20172722","ICTVonline=20172722")</f>
        <v>ICTVonline=20172722</v>
      </c>
      <c r="L2606" s="3">
        <v>2605</v>
      </c>
    </row>
    <row r="2607" spans="1:12" x14ac:dyDescent="0.15">
      <c r="A2607" s="1" t="s">
        <v>908</v>
      </c>
      <c r="B2607" s="1" t="s">
        <v>1742</v>
      </c>
      <c r="D2607" s="1" t="s">
        <v>633</v>
      </c>
      <c r="E2607" s="1" t="s">
        <v>634</v>
      </c>
      <c r="F2607" s="3">
        <v>1</v>
      </c>
      <c r="G2607" s="8" t="s">
        <v>2771</v>
      </c>
      <c r="H2607" s="8" t="s">
        <v>5166</v>
      </c>
      <c r="I2607" s="3">
        <v>24</v>
      </c>
      <c r="J2607" s="3" t="s">
        <v>6015</v>
      </c>
      <c r="K2607" s="17" t="str">
        <f>HYPERLINK("http://ictvonline.org/taxonomyHistory.asp?taxnode_id=20172724","ICTVonline=20172724")</f>
        <v>ICTVonline=20172724</v>
      </c>
      <c r="L2607" s="3">
        <v>2606</v>
      </c>
    </row>
    <row r="2608" spans="1:12" x14ac:dyDescent="0.15">
      <c r="A2608" s="1" t="s">
        <v>908</v>
      </c>
      <c r="B2608" s="1" t="s">
        <v>1742</v>
      </c>
      <c r="D2608" s="1" t="s">
        <v>633</v>
      </c>
      <c r="E2608" s="1" t="s">
        <v>1782</v>
      </c>
      <c r="F2608" s="3">
        <v>0</v>
      </c>
      <c r="G2608" s="8" t="s">
        <v>2771</v>
      </c>
      <c r="H2608" s="8" t="s">
        <v>5161</v>
      </c>
      <c r="I2608" s="3">
        <v>24</v>
      </c>
      <c r="J2608" s="3" t="s">
        <v>6015</v>
      </c>
      <c r="K2608" s="17" t="str">
        <f>HYPERLINK("http://ictvonline.org/taxonomyHistory.asp?taxnode_id=20172725","ICTVonline=20172725")</f>
        <v>ICTVonline=20172725</v>
      </c>
      <c r="L2608" s="3">
        <v>2607</v>
      </c>
    </row>
    <row r="2609" spans="1:12" x14ac:dyDescent="0.15">
      <c r="A2609" s="1" t="s">
        <v>908</v>
      </c>
      <c r="B2609" s="1" t="s">
        <v>1783</v>
      </c>
      <c r="D2609" s="1" t="s">
        <v>1784</v>
      </c>
      <c r="E2609" s="1" t="s">
        <v>1785</v>
      </c>
      <c r="F2609" s="3">
        <v>1</v>
      </c>
      <c r="G2609" s="8" t="s">
        <v>2773</v>
      </c>
      <c r="H2609" s="8" t="s">
        <v>5164</v>
      </c>
      <c r="I2609" s="3">
        <v>13</v>
      </c>
      <c r="J2609" s="3" t="s">
        <v>6016</v>
      </c>
      <c r="K2609" s="17" t="str">
        <f>HYPERLINK("http://ictvonline.org/taxonomyHistory.asp?taxnode_id=20172729","ICTVonline=20172729")</f>
        <v>ICTVonline=20172729</v>
      </c>
      <c r="L2609" s="3">
        <v>2608</v>
      </c>
    </row>
    <row r="2610" spans="1:12" x14ac:dyDescent="0.15">
      <c r="A2610" s="1" t="s">
        <v>908</v>
      </c>
      <c r="B2610" s="1" t="s">
        <v>2398</v>
      </c>
      <c r="D2610" s="1" t="s">
        <v>1264</v>
      </c>
      <c r="E2610" s="1" t="s">
        <v>1265</v>
      </c>
      <c r="F2610" s="3">
        <v>1</v>
      </c>
      <c r="G2610" s="8" t="s">
        <v>2773</v>
      </c>
      <c r="H2610" s="8" t="s">
        <v>5161</v>
      </c>
      <c r="I2610" s="3">
        <v>28</v>
      </c>
      <c r="J2610" s="3" t="s">
        <v>6017</v>
      </c>
      <c r="K2610" s="17" t="str">
        <f>HYPERLINK("http://ictvonline.org/taxonomyHistory.asp?taxnode_id=20172733","ICTVonline=20172733")</f>
        <v>ICTVonline=20172733</v>
      </c>
      <c r="L2610" s="3">
        <v>2609</v>
      </c>
    </row>
    <row r="2611" spans="1:12" x14ac:dyDescent="0.15">
      <c r="A2611" s="1" t="s">
        <v>908</v>
      </c>
      <c r="B2611" s="1" t="s">
        <v>2398</v>
      </c>
      <c r="D2611" s="1" t="s">
        <v>1264</v>
      </c>
      <c r="E2611" s="1" t="s">
        <v>1266</v>
      </c>
      <c r="F2611" s="3">
        <v>0</v>
      </c>
      <c r="G2611" s="8" t="s">
        <v>2773</v>
      </c>
      <c r="H2611" s="8" t="s">
        <v>5161</v>
      </c>
      <c r="I2611" s="3">
        <v>28</v>
      </c>
      <c r="J2611" s="3" t="s">
        <v>6017</v>
      </c>
      <c r="K2611" s="17" t="str">
        <f>HYPERLINK("http://ictvonline.org/taxonomyHistory.asp?taxnode_id=20172734","ICTVonline=20172734")</f>
        <v>ICTVonline=20172734</v>
      </c>
      <c r="L2611" s="3">
        <v>2610</v>
      </c>
    </row>
    <row r="2612" spans="1:12" x14ac:dyDescent="0.15">
      <c r="A2612" s="1" t="s">
        <v>908</v>
      </c>
      <c r="B2612" s="1" t="s">
        <v>2398</v>
      </c>
      <c r="D2612" s="1" t="s">
        <v>1264</v>
      </c>
      <c r="E2612" s="1" t="s">
        <v>2399</v>
      </c>
      <c r="F2612" s="3">
        <v>0</v>
      </c>
      <c r="G2612" s="8" t="s">
        <v>2773</v>
      </c>
      <c r="H2612" s="8" t="s">
        <v>5159</v>
      </c>
      <c r="I2612" s="3">
        <v>28</v>
      </c>
      <c r="J2612" s="3" t="s">
        <v>6017</v>
      </c>
      <c r="K2612" s="17" t="str">
        <f>HYPERLINK("http://ictvonline.org/taxonomyHistory.asp?taxnode_id=20172735","ICTVonline=20172735")</f>
        <v>ICTVonline=20172735</v>
      </c>
      <c r="L2612" s="3">
        <v>2611</v>
      </c>
    </row>
    <row r="2613" spans="1:12" x14ac:dyDescent="0.15">
      <c r="A2613" s="1" t="s">
        <v>908</v>
      </c>
      <c r="B2613" s="1" t="s">
        <v>2398</v>
      </c>
      <c r="D2613" s="1" t="s">
        <v>1264</v>
      </c>
      <c r="E2613" s="1" t="s">
        <v>2301</v>
      </c>
      <c r="F2613" s="3">
        <v>0</v>
      </c>
      <c r="G2613" s="8" t="s">
        <v>2773</v>
      </c>
      <c r="H2613" s="8" t="s">
        <v>5161</v>
      </c>
      <c r="I2613" s="3">
        <v>28</v>
      </c>
      <c r="J2613" s="3" t="s">
        <v>6017</v>
      </c>
      <c r="K2613" s="17" t="str">
        <f>HYPERLINK("http://ictvonline.org/taxonomyHistory.asp?taxnode_id=20172736","ICTVonline=20172736")</f>
        <v>ICTVonline=20172736</v>
      </c>
      <c r="L2613" s="3">
        <v>2612</v>
      </c>
    </row>
    <row r="2614" spans="1:12" x14ac:dyDescent="0.15">
      <c r="A2614" s="1" t="s">
        <v>908</v>
      </c>
      <c r="B2614" s="1" t="s">
        <v>651</v>
      </c>
      <c r="D2614" s="1" t="s">
        <v>652</v>
      </c>
      <c r="E2614" s="1" t="s">
        <v>653</v>
      </c>
      <c r="F2614" s="3">
        <v>1</v>
      </c>
      <c r="G2614" s="8" t="s">
        <v>2771</v>
      </c>
      <c r="H2614" s="8" t="s">
        <v>5164</v>
      </c>
      <c r="I2614" s="3">
        <v>25</v>
      </c>
      <c r="J2614" s="3" t="s">
        <v>6018</v>
      </c>
      <c r="K2614" s="17" t="str">
        <f>HYPERLINK("http://ictvonline.org/taxonomyHistory.asp?taxnode_id=20172740","ICTVonline=20172740")</f>
        <v>ICTVonline=20172740</v>
      </c>
      <c r="L2614" s="3">
        <v>2613</v>
      </c>
    </row>
    <row r="2615" spans="1:12" x14ac:dyDescent="0.15">
      <c r="A2615" s="1" t="s">
        <v>908</v>
      </c>
      <c r="B2615" s="1" t="s">
        <v>67</v>
      </c>
      <c r="D2615" s="1" t="s">
        <v>68</v>
      </c>
      <c r="E2615" s="1" t="s">
        <v>69</v>
      </c>
      <c r="F2615" s="3">
        <v>1</v>
      </c>
      <c r="G2615" s="8" t="s">
        <v>2774</v>
      </c>
      <c r="H2615" s="8" t="s">
        <v>5164</v>
      </c>
      <c r="I2615" s="3">
        <v>26</v>
      </c>
      <c r="J2615" s="3" t="s">
        <v>6019</v>
      </c>
      <c r="K2615" s="17" t="str">
        <f>HYPERLINK("http://ictvonline.org/taxonomyHistory.asp?taxnode_id=20172744","ICTVonline=20172744")</f>
        <v>ICTVonline=20172744</v>
      </c>
      <c r="L2615" s="3">
        <v>2614</v>
      </c>
    </row>
    <row r="2616" spans="1:12" x14ac:dyDescent="0.15">
      <c r="A2616" s="1" t="s">
        <v>908</v>
      </c>
      <c r="B2616" s="1" t="s">
        <v>1786</v>
      </c>
      <c r="D2616" s="1" t="s">
        <v>1787</v>
      </c>
      <c r="E2616" s="1" t="s">
        <v>1788</v>
      </c>
      <c r="F2616" s="3">
        <v>1</v>
      </c>
      <c r="G2616" s="8" t="s">
        <v>2776</v>
      </c>
      <c r="H2616" s="8" t="s">
        <v>5161</v>
      </c>
      <c r="I2616" s="3">
        <v>13</v>
      </c>
      <c r="J2616" s="3" t="s">
        <v>6016</v>
      </c>
      <c r="K2616" s="17" t="str">
        <f>HYPERLINK("http://ictvonline.org/taxonomyHistory.asp?taxnode_id=20172748","ICTVonline=20172748")</f>
        <v>ICTVonline=20172748</v>
      </c>
      <c r="L2616" s="3">
        <v>2615</v>
      </c>
    </row>
    <row r="2617" spans="1:12" x14ac:dyDescent="0.15">
      <c r="A2617" s="1" t="s">
        <v>908</v>
      </c>
      <c r="B2617" s="1" t="s">
        <v>1786</v>
      </c>
      <c r="D2617" s="1" t="s">
        <v>1787</v>
      </c>
      <c r="E2617" s="1" t="s">
        <v>1789</v>
      </c>
      <c r="F2617" s="3">
        <v>0</v>
      </c>
      <c r="G2617" s="8" t="s">
        <v>2776</v>
      </c>
      <c r="H2617" s="8" t="s">
        <v>5159</v>
      </c>
      <c r="I2617" s="3">
        <v>23</v>
      </c>
      <c r="J2617" s="3" t="s">
        <v>6020</v>
      </c>
      <c r="K2617" s="17" t="str">
        <f>HYPERLINK("http://ictvonline.org/taxonomyHistory.asp?taxnode_id=20172749","ICTVonline=20172749")</f>
        <v>ICTVonline=20172749</v>
      </c>
      <c r="L2617" s="3">
        <v>2616</v>
      </c>
    </row>
    <row r="2618" spans="1:12" x14ac:dyDescent="0.15">
      <c r="A2618" s="1" t="s">
        <v>908</v>
      </c>
      <c r="B2618" s="1" t="s">
        <v>1786</v>
      </c>
      <c r="D2618" s="1" t="s">
        <v>1787</v>
      </c>
      <c r="E2618" s="1" t="s">
        <v>1790</v>
      </c>
      <c r="F2618" s="3">
        <v>0</v>
      </c>
      <c r="G2618" s="8" t="s">
        <v>2776</v>
      </c>
      <c r="H2618" s="8" t="s">
        <v>5159</v>
      </c>
      <c r="I2618" s="3">
        <v>18</v>
      </c>
      <c r="J2618" s="3" t="s">
        <v>5597</v>
      </c>
      <c r="K2618" s="17" t="str">
        <f>HYPERLINK("http://ictvonline.org/taxonomyHistory.asp?taxnode_id=20172750","ICTVonline=20172750")</f>
        <v>ICTVonline=20172750</v>
      </c>
      <c r="L2618" s="3">
        <v>2617</v>
      </c>
    </row>
    <row r="2619" spans="1:12" x14ac:dyDescent="0.15">
      <c r="A2619" s="1" t="s">
        <v>908</v>
      </c>
      <c r="B2619" s="1" t="s">
        <v>1786</v>
      </c>
      <c r="D2619" s="1" t="s">
        <v>1791</v>
      </c>
      <c r="E2619" s="1" t="s">
        <v>1800</v>
      </c>
      <c r="F2619" s="3">
        <v>1</v>
      </c>
      <c r="G2619" s="8" t="s">
        <v>2776</v>
      </c>
      <c r="H2619" s="8" t="s">
        <v>5165</v>
      </c>
      <c r="I2619" s="3">
        <v>13</v>
      </c>
      <c r="J2619" s="3" t="s">
        <v>6016</v>
      </c>
      <c r="K2619" s="17" t="str">
        <f>HYPERLINK("http://ictvonline.org/taxonomyHistory.asp?taxnode_id=20172752","ICTVonline=20172752")</f>
        <v>ICTVonline=20172752</v>
      </c>
      <c r="L2619" s="3">
        <v>2618</v>
      </c>
    </row>
    <row r="2620" spans="1:12" x14ac:dyDescent="0.15">
      <c r="A2620" s="1" t="s">
        <v>908</v>
      </c>
      <c r="B2620" s="1" t="s">
        <v>1786</v>
      </c>
      <c r="D2620" s="1" t="s">
        <v>1801</v>
      </c>
      <c r="E2620" s="1" t="s">
        <v>1802</v>
      </c>
      <c r="F2620" s="3">
        <v>1</v>
      </c>
      <c r="G2620" s="8" t="s">
        <v>2776</v>
      </c>
      <c r="H2620" s="8" t="s">
        <v>5164</v>
      </c>
      <c r="I2620" s="3">
        <v>24</v>
      </c>
      <c r="J2620" s="3" t="s">
        <v>6021</v>
      </c>
      <c r="K2620" s="17" t="str">
        <f>HYPERLINK("http://ictvonline.org/taxonomyHistory.asp?taxnode_id=20172754","ICTVonline=20172754")</f>
        <v>ICTVonline=20172754</v>
      </c>
      <c r="L2620" s="3">
        <v>2619</v>
      </c>
    </row>
    <row r="2621" spans="1:12" x14ac:dyDescent="0.15">
      <c r="A2621" s="1" t="s">
        <v>908</v>
      </c>
      <c r="B2621" s="1" t="s">
        <v>1786</v>
      </c>
      <c r="D2621" s="1" t="s">
        <v>1803</v>
      </c>
      <c r="E2621" s="1" t="s">
        <v>1804</v>
      </c>
      <c r="F2621" s="3">
        <v>1</v>
      </c>
      <c r="G2621" s="8" t="s">
        <v>2776</v>
      </c>
      <c r="H2621" s="8" t="s">
        <v>5165</v>
      </c>
      <c r="I2621" s="3">
        <v>13</v>
      </c>
      <c r="J2621" s="3" t="s">
        <v>6016</v>
      </c>
      <c r="K2621" s="17" t="str">
        <f>HYPERLINK("http://ictvonline.org/taxonomyHistory.asp?taxnode_id=20172756","ICTVonline=20172756")</f>
        <v>ICTVonline=20172756</v>
      </c>
      <c r="L2621" s="3">
        <v>2620</v>
      </c>
    </row>
    <row r="2622" spans="1:12" x14ac:dyDescent="0.15">
      <c r="A2622" s="1" t="s">
        <v>908</v>
      </c>
      <c r="B2622" s="1" t="s">
        <v>1805</v>
      </c>
      <c r="D2622" s="1" t="s">
        <v>749</v>
      </c>
      <c r="E2622" s="1" t="s">
        <v>750</v>
      </c>
      <c r="F2622" s="3">
        <v>1</v>
      </c>
      <c r="G2622" s="8" t="s">
        <v>2773</v>
      </c>
      <c r="H2622" s="8" t="s">
        <v>5161</v>
      </c>
      <c r="I2622" s="3">
        <v>13</v>
      </c>
      <c r="J2622" s="3" t="s">
        <v>6016</v>
      </c>
      <c r="K2622" s="17" t="str">
        <f>HYPERLINK("http://ictvonline.org/taxonomyHistory.asp?taxnode_id=20172760","ICTVonline=20172760")</f>
        <v>ICTVonline=20172760</v>
      </c>
      <c r="L2622" s="3">
        <v>2621</v>
      </c>
    </row>
    <row r="2623" spans="1:12" x14ac:dyDescent="0.15">
      <c r="A2623" s="1" t="s">
        <v>908</v>
      </c>
      <c r="B2623" s="1" t="s">
        <v>1805</v>
      </c>
      <c r="D2623" s="1" t="s">
        <v>751</v>
      </c>
      <c r="E2623" s="1" t="s">
        <v>2400</v>
      </c>
      <c r="F2623" s="3">
        <v>0</v>
      </c>
      <c r="G2623" s="8" t="s">
        <v>2773</v>
      </c>
      <c r="H2623" s="8" t="s">
        <v>5159</v>
      </c>
      <c r="I2623" s="3">
        <v>28</v>
      </c>
      <c r="J2623" s="3" t="s">
        <v>6022</v>
      </c>
      <c r="K2623" s="17" t="str">
        <f>HYPERLINK("http://ictvonline.org/taxonomyHistory.asp?taxnode_id=20172762","ICTVonline=20172762")</f>
        <v>ICTVonline=20172762</v>
      </c>
      <c r="L2623" s="3">
        <v>2622</v>
      </c>
    </row>
    <row r="2624" spans="1:12" x14ac:dyDescent="0.15">
      <c r="A2624" s="1" t="s">
        <v>908</v>
      </c>
      <c r="B2624" s="1" t="s">
        <v>1805</v>
      </c>
      <c r="D2624" s="1" t="s">
        <v>751</v>
      </c>
      <c r="E2624" s="1" t="s">
        <v>752</v>
      </c>
      <c r="F2624" s="3">
        <v>1</v>
      </c>
      <c r="G2624" s="8" t="s">
        <v>2773</v>
      </c>
      <c r="H2624" s="8" t="s">
        <v>5164</v>
      </c>
      <c r="I2624" s="3">
        <v>24</v>
      </c>
      <c r="J2624" s="3" t="s">
        <v>6023</v>
      </c>
      <c r="K2624" s="17" t="str">
        <f>HYPERLINK("http://ictvonline.org/taxonomyHistory.asp?taxnode_id=20172763","ICTVonline=20172763")</f>
        <v>ICTVonline=20172763</v>
      </c>
      <c r="L2624" s="3">
        <v>2623</v>
      </c>
    </row>
    <row r="2625" spans="1:12" x14ac:dyDescent="0.15">
      <c r="A2625" s="1" t="s">
        <v>908</v>
      </c>
      <c r="B2625" s="1" t="s">
        <v>1805</v>
      </c>
      <c r="D2625" s="1" t="s">
        <v>753</v>
      </c>
      <c r="E2625" s="1" t="s">
        <v>754</v>
      </c>
      <c r="F2625" s="3">
        <v>0</v>
      </c>
      <c r="G2625" s="8" t="s">
        <v>2773</v>
      </c>
      <c r="H2625" s="8" t="s">
        <v>5161</v>
      </c>
      <c r="I2625" s="3">
        <v>13</v>
      </c>
      <c r="J2625" s="3" t="s">
        <v>6016</v>
      </c>
      <c r="K2625" s="17" t="str">
        <f>HYPERLINK("http://ictvonline.org/taxonomyHistory.asp?taxnode_id=20172765","ICTVonline=20172765")</f>
        <v>ICTVonline=20172765</v>
      </c>
      <c r="L2625" s="3">
        <v>2624</v>
      </c>
    </row>
    <row r="2626" spans="1:12" x14ac:dyDescent="0.15">
      <c r="A2626" s="1" t="s">
        <v>908</v>
      </c>
      <c r="B2626" s="1" t="s">
        <v>1805</v>
      </c>
      <c r="D2626" s="1" t="s">
        <v>753</v>
      </c>
      <c r="E2626" s="1" t="s">
        <v>755</v>
      </c>
      <c r="F2626" s="3">
        <v>1</v>
      </c>
      <c r="G2626" s="8" t="s">
        <v>2773</v>
      </c>
      <c r="H2626" s="8" t="s">
        <v>5161</v>
      </c>
      <c r="I2626" s="3">
        <v>13</v>
      </c>
      <c r="J2626" s="3" t="s">
        <v>6016</v>
      </c>
      <c r="K2626" s="17" t="str">
        <f>HYPERLINK("http://ictvonline.org/taxonomyHistory.asp?taxnode_id=20172766","ICTVonline=20172766")</f>
        <v>ICTVonline=20172766</v>
      </c>
      <c r="L2626" s="3">
        <v>2625</v>
      </c>
    </row>
    <row r="2627" spans="1:12" x14ac:dyDescent="0.15">
      <c r="A2627" s="1" t="s">
        <v>908</v>
      </c>
      <c r="B2627" s="1" t="s">
        <v>1805</v>
      </c>
      <c r="D2627" s="1" t="s">
        <v>753</v>
      </c>
      <c r="E2627" s="1" t="s">
        <v>756</v>
      </c>
      <c r="F2627" s="3">
        <v>0</v>
      </c>
      <c r="G2627" s="8" t="s">
        <v>2773</v>
      </c>
      <c r="H2627" s="8" t="s">
        <v>5161</v>
      </c>
      <c r="I2627" s="3">
        <v>13</v>
      </c>
      <c r="J2627" s="3" t="s">
        <v>6016</v>
      </c>
      <c r="K2627" s="17" t="str">
        <f>HYPERLINK("http://ictvonline.org/taxonomyHistory.asp?taxnode_id=20172767","ICTVonline=20172767")</f>
        <v>ICTVonline=20172767</v>
      </c>
      <c r="L2627" s="3">
        <v>2626</v>
      </c>
    </row>
    <row r="2628" spans="1:12" x14ac:dyDescent="0.15">
      <c r="A2628" s="1" t="s">
        <v>908</v>
      </c>
      <c r="B2628" s="1" t="s">
        <v>1805</v>
      </c>
      <c r="D2628" s="1" t="s">
        <v>753</v>
      </c>
      <c r="E2628" s="1" t="s">
        <v>1808</v>
      </c>
      <c r="F2628" s="3">
        <v>0</v>
      </c>
      <c r="G2628" s="8" t="s">
        <v>2773</v>
      </c>
      <c r="H2628" s="8" t="s">
        <v>5161</v>
      </c>
      <c r="I2628" s="3">
        <v>13</v>
      </c>
      <c r="J2628" s="3" t="s">
        <v>6016</v>
      </c>
      <c r="K2628" s="17" t="str">
        <f>HYPERLINK("http://ictvonline.org/taxonomyHistory.asp?taxnode_id=20172768","ICTVonline=20172768")</f>
        <v>ICTVonline=20172768</v>
      </c>
      <c r="L2628" s="3">
        <v>2627</v>
      </c>
    </row>
    <row r="2629" spans="1:12" x14ac:dyDescent="0.15">
      <c r="A2629" s="1" t="s">
        <v>908</v>
      </c>
      <c r="B2629" s="1" t="s">
        <v>1805</v>
      </c>
      <c r="D2629" s="1" t="s">
        <v>753</v>
      </c>
      <c r="E2629" s="1" t="s">
        <v>1809</v>
      </c>
      <c r="F2629" s="3">
        <v>0</v>
      </c>
      <c r="G2629" s="8" t="s">
        <v>2773</v>
      </c>
      <c r="H2629" s="8" t="s">
        <v>5161</v>
      </c>
      <c r="I2629" s="3">
        <v>13</v>
      </c>
      <c r="J2629" s="3" t="s">
        <v>6016</v>
      </c>
      <c r="K2629" s="17" t="str">
        <f>HYPERLINK("http://ictvonline.org/taxonomyHistory.asp?taxnode_id=20172769","ICTVonline=20172769")</f>
        <v>ICTVonline=20172769</v>
      </c>
      <c r="L2629" s="3">
        <v>2628</v>
      </c>
    </row>
    <row r="2630" spans="1:12" x14ac:dyDescent="0.15">
      <c r="A2630" s="1" t="s">
        <v>908</v>
      </c>
      <c r="B2630" s="1" t="s">
        <v>1805</v>
      </c>
      <c r="D2630" s="1" t="s">
        <v>753</v>
      </c>
      <c r="E2630" s="1" t="s">
        <v>654</v>
      </c>
      <c r="F2630" s="3">
        <v>0</v>
      </c>
      <c r="G2630" s="8" t="s">
        <v>2773</v>
      </c>
      <c r="H2630" s="8" t="s">
        <v>5161</v>
      </c>
      <c r="I2630" s="3">
        <v>13</v>
      </c>
      <c r="J2630" s="3" t="s">
        <v>6016</v>
      </c>
      <c r="K2630" s="17" t="str">
        <f>HYPERLINK("http://ictvonline.org/taxonomyHistory.asp?taxnode_id=20172770","ICTVonline=20172770")</f>
        <v>ICTVonline=20172770</v>
      </c>
      <c r="L2630" s="3">
        <v>2629</v>
      </c>
    </row>
    <row r="2631" spans="1:12" x14ac:dyDescent="0.15">
      <c r="A2631" s="1" t="s">
        <v>908</v>
      </c>
      <c r="B2631" s="1" t="s">
        <v>1805</v>
      </c>
      <c r="D2631" s="1" t="s">
        <v>655</v>
      </c>
      <c r="E2631" s="1" t="s">
        <v>656</v>
      </c>
      <c r="F2631" s="3">
        <v>1</v>
      </c>
      <c r="G2631" s="8" t="s">
        <v>2773</v>
      </c>
      <c r="H2631" s="8" t="s">
        <v>5161</v>
      </c>
      <c r="I2631" s="3">
        <v>13</v>
      </c>
      <c r="J2631" s="3" t="s">
        <v>6016</v>
      </c>
      <c r="K2631" s="17" t="str">
        <f>HYPERLINK("http://ictvonline.org/taxonomyHistory.asp?taxnode_id=20172772","ICTVonline=20172772")</f>
        <v>ICTVonline=20172772</v>
      </c>
      <c r="L2631" s="3">
        <v>2630</v>
      </c>
    </row>
    <row r="2632" spans="1:12" x14ac:dyDescent="0.15">
      <c r="A2632" s="1" t="s">
        <v>908</v>
      </c>
      <c r="B2632" s="1" t="s">
        <v>1805</v>
      </c>
      <c r="D2632" s="1" t="s">
        <v>655</v>
      </c>
      <c r="E2632" s="1" t="s">
        <v>70</v>
      </c>
      <c r="F2632" s="3">
        <v>0</v>
      </c>
      <c r="G2632" s="8" t="s">
        <v>2773</v>
      </c>
      <c r="H2632" s="8" t="s">
        <v>5159</v>
      </c>
      <c r="I2632" s="3">
        <v>26</v>
      </c>
      <c r="J2632" s="3" t="s">
        <v>6024</v>
      </c>
      <c r="K2632" s="17" t="str">
        <f>HYPERLINK("http://ictvonline.org/taxonomyHistory.asp?taxnode_id=20172773","ICTVonline=20172773")</f>
        <v>ICTVonline=20172773</v>
      </c>
      <c r="L2632" s="3">
        <v>2631</v>
      </c>
    </row>
    <row r="2633" spans="1:12" x14ac:dyDescent="0.15">
      <c r="A2633" s="1" t="s">
        <v>908</v>
      </c>
      <c r="B2633" s="1" t="s">
        <v>1805</v>
      </c>
      <c r="D2633" s="1" t="s">
        <v>655</v>
      </c>
      <c r="E2633" s="1" t="s">
        <v>1812</v>
      </c>
      <c r="F2633" s="3">
        <v>0</v>
      </c>
      <c r="G2633" s="8" t="s">
        <v>2773</v>
      </c>
      <c r="H2633" s="8" t="s">
        <v>5161</v>
      </c>
      <c r="I2633" s="3">
        <v>13</v>
      </c>
      <c r="J2633" s="3" t="s">
        <v>6016</v>
      </c>
      <c r="K2633" s="17" t="str">
        <f>HYPERLINK("http://ictvonline.org/taxonomyHistory.asp?taxnode_id=20172774","ICTVonline=20172774")</f>
        <v>ICTVonline=20172774</v>
      </c>
      <c r="L2633" s="3">
        <v>2632</v>
      </c>
    </row>
    <row r="2634" spans="1:12" x14ac:dyDescent="0.15">
      <c r="A2634" s="1" t="s">
        <v>908</v>
      </c>
      <c r="B2634" s="1" t="s">
        <v>1805</v>
      </c>
      <c r="D2634" s="1" t="s">
        <v>655</v>
      </c>
      <c r="E2634" s="1" t="s">
        <v>1813</v>
      </c>
      <c r="F2634" s="3">
        <v>0</v>
      </c>
      <c r="G2634" s="8" t="s">
        <v>2773</v>
      </c>
      <c r="H2634" s="8" t="s">
        <v>5161</v>
      </c>
      <c r="I2634" s="3">
        <v>13</v>
      </c>
      <c r="J2634" s="3" t="s">
        <v>6016</v>
      </c>
      <c r="K2634" s="17" t="str">
        <f>HYPERLINK("http://ictvonline.org/taxonomyHistory.asp?taxnode_id=20172775","ICTVonline=20172775")</f>
        <v>ICTVonline=20172775</v>
      </c>
      <c r="L2634" s="3">
        <v>2633</v>
      </c>
    </row>
    <row r="2635" spans="1:12" x14ac:dyDescent="0.15">
      <c r="A2635" s="1" t="s">
        <v>908</v>
      </c>
      <c r="B2635" s="1" t="s">
        <v>1805</v>
      </c>
      <c r="D2635" s="1" t="s">
        <v>1814</v>
      </c>
      <c r="E2635" s="1" t="s">
        <v>6025</v>
      </c>
      <c r="F2635" s="3">
        <v>0</v>
      </c>
      <c r="G2635" s="8" t="s">
        <v>2773</v>
      </c>
      <c r="H2635" s="8" t="s">
        <v>5159</v>
      </c>
      <c r="I2635" s="3">
        <v>32</v>
      </c>
      <c r="J2635" s="3" t="s">
        <v>6026</v>
      </c>
      <c r="K2635" s="17" t="str">
        <f>HYPERLINK("http://ictvonline.org/taxonomyHistory.asp?taxnode_id=20175758","ICTVonline=20175758")</f>
        <v>ICTVonline=20175758</v>
      </c>
      <c r="L2635" s="3">
        <v>2634</v>
      </c>
    </row>
    <row r="2636" spans="1:12" x14ac:dyDescent="0.15">
      <c r="A2636" s="1" t="s">
        <v>908</v>
      </c>
      <c r="B2636" s="1" t="s">
        <v>1805</v>
      </c>
      <c r="D2636" s="1" t="s">
        <v>1814</v>
      </c>
      <c r="E2636" s="1" t="s">
        <v>1815</v>
      </c>
      <c r="F2636" s="3">
        <v>0</v>
      </c>
      <c r="G2636" s="8" t="s">
        <v>2773</v>
      </c>
      <c r="H2636" s="8" t="s">
        <v>5161</v>
      </c>
      <c r="I2636" s="3">
        <v>13</v>
      </c>
      <c r="J2636" s="3" t="s">
        <v>6016</v>
      </c>
      <c r="K2636" s="17" t="str">
        <f>HYPERLINK("http://ictvonline.org/taxonomyHistory.asp?taxnode_id=20172777","ICTVonline=20172777")</f>
        <v>ICTVonline=20172777</v>
      </c>
      <c r="L2636" s="3">
        <v>2635</v>
      </c>
    </row>
    <row r="2637" spans="1:12" x14ac:dyDescent="0.15">
      <c r="A2637" s="1" t="s">
        <v>908</v>
      </c>
      <c r="B2637" s="1" t="s">
        <v>1805</v>
      </c>
      <c r="D2637" s="1" t="s">
        <v>1814</v>
      </c>
      <c r="E2637" s="1" t="s">
        <v>1816</v>
      </c>
      <c r="F2637" s="3">
        <v>0</v>
      </c>
      <c r="G2637" s="8" t="s">
        <v>2773</v>
      </c>
      <c r="H2637" s="8" t="s">
        <v>5168</v>
      </c>
      <c r="I2637" s="3">
        <v>14</v>
      </c>
      <c r="J2637" s="3" t="s">
        <v>6027</v>
      </c>
      <c r="K2637" s="17" t="str">
        <f>HYPERLINK("http://ictvonline.org/taxonomyHistory.asp?taxnode_id=20172778","ICTVonline=20172778")</f>
        <v>ICTVonline=20172778</v>
      </c>
      <c r="L2637" s="3">
        <v>2636</v>
      </c>
    </row>
    <row r="2638" spans="1:12" x14ac:dyDescent="0.15">
      <c r="A2638" s="1" t="s">
        <v>908</v>
      </c>
      <c r="B2638" s="1" t="s">
        <v>1805</v>
      </c>
      <c r="D2638" s="1" t="s">
        <v>1814</v>
      </c>
      <c r="E2638" s="1" t="s">
        <v>1817</v>
      </c>
      <c r="F2638" s="3">
        <v>0</v>
      </c>
      <c r="G2638" s="8" t="s">
        <v>2773</v>
      </c>
      <c r="H2638" s="8" t="s">
        <v>5162</v>
      </c>
      <c r="I2638" s="3">
        <v>14</v>
      </c>
      <c r="J2638" s="3" t="s">
        <v>6027</v>
      </c>
      <c r="K2638" s="17" t="str">
        <f>HYPERLINK("http://ictvonline.org/taxonomyHistory.asp?taxnode_id=20172779","ICTVonline=20172779")</f>
        <v>ICTVonline=20172779</v>
      </c>
      <c r="L2638" s="3">
        <v>2637</v>
      </c>
    </row>
    <row r="2639" spans="1:12" x14ac:dyDescent="0.15">
      <c r="A2639" s="1" t="s">
        <v>908</v>
      </c>
      <c r="B2639" s="1" t="s">
        <v>1805</v>
      </c>
      <c r="D2639" s="1" t="s">
        <v>1814</v>
      </c>
      <c r="E2639" s="1" t="s">
        <v>71</v>
      </c>
      <c r="F2639" s="3">
        <v>0</v>
      </c>
      <c r="G2639" s="8" t="s">
        <v>2773</v>
      </c>
      <c r="H2639" s="8" t="s">
        <v>5159</v>
      </c>
      <c r="I2639" s="3">
        <v>26</v>
      </c>
      <c r="J2639" s="3" t="s">
        <v>6028</v>
      </c>
      <c r="K2639" s="17" t="str">
        <f>HYPERLINK("http://ictvonline.org/taxonomyHistory.asp?taxnode_id=20172780","ICTVonline=20172780")</f>
        <v>ICTVonline=20172780</v>
      </c>
      <c r="L2639" s="3">
        <v>2638</v>
      </c>
    </row>
    <row r="2640" spans="1:12" x14ac:dyDescent="0.15">
      <c r="A2640" s="1" t="s">
        <v>908</v>
      </c>
      <c r="B2640" s="1" t="s">
        <v>1805</v>
      </c>
      <c r="D2640" s="1" t="s">
        <v>1814</v>
      </c>
      <c r="E2640" s="1" t="s">
        <v>1818</v>
      </c>
      <c r="F2640" s="3">
        <v>0</v>
      </c>
      <c r="G2640" s="8" t="s">
        <v>2773</v>
      </c>
      <c r="H2640" s="8" t="s">
        <v>5162</v>
      </c>
      <c r="I2640" s="3">
        <v>14</v>
      </c>
      <c r="J2640" s="3" t="s">
        <v>6027</v>
      </c>
      <c r="K2640" s="17" t="str">
        <f>HYPERLINK("http://ictvonline.org/taxonomyHistory.asp?taxnode_id=20172781","ICTVonline=20172781")</f>
        <v>ICTVonline=20172781</v>
      </c>
      <c r="L2640" s="3">
        <v>2639</v>
      </c>
    </row>
    <row r="2641" spans="1:12" x14ac:dyDescent="0.15">
      <c r="A2641" s="1" t="s">
        <v>908</v>
      </c>
      <c r="B2641" s="1" t="s">
        <v>1805</v>
      </c>
      <c r="D2641" s="1" t="s">
        <v>1814</v>
      </c>
      <c r="E2641" s="1" t="s">
        <v>1819</v>
      </c>
      <c r="F2641" s="3">
        <v>0</v>
      </c>
      <c r="G2641" s="8" t="s">
        <v>2773</v>
      </c>
      <c r="H2641" s="8" t="s">
        <v>5161</v>
      </c>
      <c r="I2641" s="3">
        <v>13</v>
      </c>
      <c r="J2641" s="3" t="s">
        <v>6016</v>
      </c>
      <c r="K2641" s="17" t="str">
        <f>HYPERLINK("http://ictvonline.org/taxonomyHistory.asp?taxnode_id=20172782","ICTVonline=20172782")</f>
        <v>ICTVonline=20172782</v>
      </c>
      <c r="L2641" s="3">
        <v>2640</v>
      </c>
    </row>
    <row r="2642" spans="1:12" x14ac:dyDescent="0.15">
      <c r="A2642" s="1" t="s">
        <v>908</v>
      </c>
      <c r="B2642" s="1" t="s">
        <v>1805</v>
      </c>
      <c r="D2642" s="1" t="s">
        <v>1814</v>
      </c>
      <c r="E2642" s="1" t="s">
        <v>767</v>
      </c>
      <c r="F2642" s="3">
        <v>0</v>
      </c>
      <c r="G2642" s="8" t="s">
        <v>2773</v>
      </c>
      <c r="H2642" s="8" t="s">
        <v>5161</v>
      </c>
      <c r="I2642" s="3">
        <v>13</v>
      </c>
      <c r="J2642" s="3" t="s">
        <v>6016</v>
      </c>
      <c r="K2642" s="17" t="str">
        <f>HYPERLINK("http://ictvonline.org/taxonomyHistory.asp?taxnode_id=20172783","ICTVonline=20172783")</f>
        <v>ICTVonline=20172783</v>
      </c>
      <c r="L2642" s="3">
        <v>2641</v>
      </c>
    </row>
    <row r="2643" spans="1:12" x14ac:dyDescent="0.15">
      <c r="A2643" s="1" t="s">
        <v>908</v>
      </c>
      <c r="B2643" s="1" t="s">
        <v>1805</v>
      </c>
      <c r="D2643" s="1" t="s">
        <v>1814</v>
      </c>
      <c r="E2643" s="1" t="s">
        <v>768</v>
      </c>
      <c r="F2643" s="3">
        <v>0</v>
      </c>
      <c r="G2643" s="8" t="s">
        <v>2773</v>
      </c>
      <c r="H2643" s="8" t="s">
        <v>5168</v>
      </c>
      <c r="I2643" s="3">
        <v>23</v>
      </c>
      <c r="J2643" s="3" t="s">
        <v>6020</v>
      </c>
      <c r="K2643" s="17" t="str">
        <f>HYPERLINK("http://ictvonline.org/taxonomyHistory.asp?taxnode_id=20172784","ICTVonline=20172784")</f>
        <v>ICTVonline=20172784</v>
      </c>
      <c r="L2643" s="3">
        <v>2642</v>
      </c>
    </row>
    <row r="2644" spans="1:12" x14ac:dyDescent="0.15">
      <c r="A2644" s="1" t="s">
        <v>908</v>
      </c>
      <c r="B2644" s="1" t="s">
        <v>1805</v>
      </c>
      <c r="D2644" s="1" t="s">
        <v>1814</v>
      </c>
      <c r="E2644" s="1" t="s">
        <v>769</v>
      </c>
      <c r="F2644" s="3">
        <v>0</v>
      </c>
      <c r="G2644" s="8" t="s">
        <v>2773</v>
      </c>
      <c r="H2644" s="8" t="s">
        <v>5159</v>
      </c>
      <c r="I2644" s="3">
        <v>18</v>
      </c>
      <c r="J2644" s="3" t="s">
        <v>5597</v>
      </c>
      <c r="K2644" s="17" t="str">
        <f>HYPERLINK("http://ictvonline.org/taxonomyHistory.asp?taxnode_id=20172785","ICTVonline=20172785")</f>
        <v>ICTVonline=20172785</v>
      </c>
      <c r="L2644" s="3">
        <v>2643</v>
      </c>
    </row>
    <row r="2645" spans="1:12" x14ac:dyDescent="0.15">
      <c r="A2645" s="1" t="s">
        <v>908</v>
      </c>
      <c r="B2645" s="1" t="s">
        <v>1805</v>
      </c>
      <c r="D2645" s="1" t="s">
        <v>1814</v>
      </c>
      <c r="E2645" s="1" t="s">
        <v>770</v>
      </c>
      <c r="F2645" s="3">
        <v>0</v>
      </c>
      <c r="G2645" s="8" t="s">
        <v>2773</v>
      </c>
      <c r="H2645" s="8" t="s">
        <v>5162</v>
      </c>
      <c r="I2645" s="3">
        <v>18</v>
      </c>
      <c r="J2645" s="3" t="s">
        <v>5597</v>
      </c>
      <c r="K2645" s="17" t="str">
        <f>HYPERLINK("http://ictvonline.org/taxonomyHistory.asp?taxnode_id=20172786","ICTVonline=20172786")</f>
        <v>ICTVonline=20172786</v>
      </c>
      <c r="L2645" s="3">
        <v>2644</v>
      </c>
    </row>
    <row r="2646" spans="1:12" x14ac:dyDescent="0.15">
      <c r="A2646" s="1" t="s">
        <v>908</v>
      </c>
      <c r="B2646" s="1" t="s">
        <v>1805</v>
      </c>
      <c r="D2646" s="1" t="s">
        <v>1814</v>
      </c>
      <c r="E2646" s="1" t="s">
        <v>72</v>
      </c>
      <c r="F2646" s="3">
        <v>0</v>
      </c>
      <c r="G2646" s="8" t="s">
        <v>2773</v>
      </c>
      <c r="H2646" s="8" t="s">
        <v>5159</v>
      </c>
      <c r="I2646" s="3">
        <v>26</v>
      </c>
      <c r="J2646" s="3" t="s">
        <v>6029</v>
      </c>
      <c r="K2646" s="17" t="str">
        <f>HYPERLINK("http://ictvonline.org/taxonomyHistory.asp?taxnode_id=20172787","ICTVonline=20172787")</f>
        <v>ICTVonline=20172787</v>
      </c>
      <c r="L2646" s="3">
        <v>2645</v>
      </c>
    </row>
    <row r="2647" spans="1:12" x14ac:dyDescent="0.15">
      <c r="A2647" s="1" t="s">
        <v>908</v>
      </c>
      <c r="B2647" s="1" t="s">
        <v>1805</v>
      </c>
      <c r="D2647" s="1" t="s">
        <v>1814</v>
      </c>
      <c r="E2647" s="1" t="s">
        <v>771</v>
      </c>
      <c r="F2647" s="3">
        <v>0</v>
      </c>
      <c r="G2647" s="8" t="s">
        <v>2773</v>
      </c>
      <c r="H2647" s="8" t="s">
        <v>5161</v>
      </c>
      <c r="I2647" s="3">
        <v>13</v>
      </c>
      <c r="J2647" s="3" t="s">
        <v>6016</v>
      </c>
      <c r="K2647" s="17" t="str">
        <f>HYPERLINK("http://ictvonline.org/taxonomyHistory.asp?taxnode_id=20172788","ICTVonline=20172788")</f>
        <v>ICTVonline=20172788</v>
      </c>
      <c r="L2647" s="3">
        <v>2646</v>
      </c>
    </row>
    <row r="2648" spans="1:12" x14ac:dyDescent="0.15">
      <c r="A2648" s="1" t="s">
        <v>908</v>
      </c>
      <c r="B2648" s="1" t="s">
        <v>1805</v>
      </c>
      <c r="D2648" s="1" t="s">
        <v>1814</v>
      </c>
      <c r="E2648" s="1" t="s">
        <v>226</v>
      </c>
      <c r="F2648" s="3">
        <v>0</v>
      </c>
      <c r="G2648" s="8" t="s">
        <v>2773</v>
      </c>
      <c r="H2648" s="8" t="s">
        <v>5161</v>
      </c>
      <c r="I2648" s="3">
        <v>13</v>
      </c>
      <c r="J2648" s="3" t="s">
        <v>6016</v>
      </c>
      <c r="K2648" s="17" t="str">
        <f>HYPERLINK("http://ictvonline.org/taxonomyHistory.asp?taxnode_id=20172789","ICTVonline=20172789")</f>
        <v>ICTVonline=20172789</v>
      </c>
      <c r="L2648" s="3">
        <v>2647</v>
      </c>
    </row>
    <row r="2649" spans="1:12" x14ac:dyDescent="0.15">
      <c r="A2649" s="1" t="s">
        <v>908</v>
      </c>
      <c r="B2649" s="1" t="s">
        <v>1805</v>
      </c>
      <c r="D2649" s="1" t="s">
        <v>1814</v>
      </c>
      <c r="E2649" s="1" t="s">
        <v>6030</v>
      </c>
      <c r="F2649" s="3">
        <v>0</v>
      </c>
      <c r="G2649" s="8" t="s">
        <v>2773</v>
      </c>
      <c r="H2649" s="8" t="s">
        <v>5159</v>
      </c>
      <c r="I2649" s="3">
        <v>32</v>
      </c>
      <c r="J2649" s="3" t="s">
        <v>6026</v>
      </c>
      <c r="K2649" s="17" t="str">
        <f>HYPERLINK("http://ictvonline.org/taxonomyHistory.asp?taxnode_id=20175759","ICTVonline=20175759")</f>
        <v>ICTVonline=20175759</v>
      </c>
      <c r="L2649" s="3">
        <v>2648</v>
      </c>
    </row>
    <row r="2650" spans="1:12" x14ac:dyDescent="0.15">
      <c r="A2650" s="1" t="s">
        <v>908</v>
      </c>
      <c r="B2650" s="1" t="s">
        <v>1805</v>
      </c>
      <c r="D2650" s="1" t="s">
        <v>1814</v>
      </c>
      <c r="E2650" s="1" t="s">
        <v>227</v>
      </c>
      <c r="F2650" s="3">
        <v>0</v>
      </c>
      <c r="G2650" s="8" t="s">
        <v>2773</v>
      </c>
      <c r="H2650" s="8" t="s">
        <v>5161</v>
      </c>
      <c r="I2650" s="3">
        <v>13</v>
      </c>
      <c r="J2650" s="3" t="s">
        <v>6016</v>
      </c>
      <c r="K2650" s="17" t="str">
        <f>HYPERLINK("http://ictvonline.org/taxonomyHistory.asp?taxnode_id=20172790","ICTVonline=20172790")</f>
        <v>ICTVonline=20172790</v>
      </c>
      <c r="L2650" s="3">
        <v>2649</v>
      </c>
    </row>
    <row r="2651" spans="1:12" x14ac:dyDescent="0.15">
      <c r="A2651" s="1" t="s">
        <v>908</v>
      </c>
      <c r="B2651" s="1" t="s">
        <v>1805</v>
      </c>
      <c r="D2651" s="1" t="s">
        <v>1814</v>
      </c>
      <c r="E2651" s="1" t="s">
        <v>228</v>
      </c>
      <c r="F2651" s="3">
        <v>0</v>
      </c>
      <c r="G2651" s="8" t="s">
        <v>2773</v>
      </c>
      <c r="H2651" s="8" t="s">
        <v>5168</v>
      </c>
      <c r="I2651" s="3">
        <v>14</v>
      </c>
      <c r="J2651" s="3" t="s">
        <v>6027</v>
      </c>
      <c r="K2651" s="17" t="str">
        <f>HYPERLINK("http://ictvonline.org/taxonomyHistory.asp?taxnode_id=20172791","ICTVonline=20172791")</f>
        <v>ICTVonline=20172791</v>
      </c>
      <c r="L2651" s="3">
        <v>2650</v>
      </c>
    </row>
    <row r="2652" spans="1:12" x14ac:dyDescent="0.15">
      <c r="A2652" s="1" t="s">
        <v>908</v>
      </c>
      <c r="B2652" s="1" t="s">
        <v>1805</v>
      </c>
      <c r="D2652" s="1" t="s">
        <v>1814</v>
      </c>
      <c r="E2652" s="1" t="s">
        <v>1228</v>
      </c>
      <c r="F2652" s="3">
        <v>0</v>
      </c>
      <c r="G2652" s="8" t="s">
        <v>2773</v>
      </c>
      <c r="H2652" s="8" t="s">
        <v>5161</v>
      </c>
      <c r="I2652" s="3">
        <v>13</v>
      </c>
      <c r="J2652" s="3" t="s">
        <v>6016</v>
      </c>
      <c r="K2652" s="17" t="str">
        <f>HYPERLINK("http://ictvonline.org/taxonomyHistory.asp?taxnode_id=20172792","ICTVonline=20172792")</f>
        <v>ICTVonline=20172792</v>
      </c>
      <c r="L2652" s="3">
        <v>2651</v>
      </c>
    </row>
    <row r="2653" spans="1:12" x14ac:dyDescent="0.15">
      <c r="A2653" s="1" t="s">
        <v>908</v>
      </c>
      <c r="B2653" s="1" t="s">
        <v>1805</v>
      </c>
      <c r="D2653" s="1" t="s">
        <v>1814</v>
      </c>
      <c r="E2653" s="1" t="s">
        <v>73</v>
      </c>
      <c r="F2653" s="3">
        <v>0</v>
      </c>
      <c r="G2653" s="8" t="s">
        <v>2773</v>
      </c>
      <c r="H2653" s="8" t="s">
        <v>5159</v>
      </c>
      <c r="I2653" s="3">
        <v>26</v>
      </c>
      <c r="J2653" s="3" t="s">
        <v>6028</v>
      </c>
      <c r="K2653" s="17" t="str">
        <f>HYPERLINK("http://ictvonline.org/taxonomyHistory.asp?taxnode_id=20172793","ICTVonline=20172793")</f>
        <v>ICTVonline=20172793</v>
      </c>
      <c r="L2653" s="3">
        <v>2652</v>
      </c>
    </row>
    <row r="2654" spans="1:12" x14ac:dyDescent="0.15">
      <c r="A2654" s="1" t="s">
        <v>908</v>
      </c>
      <c r="B2654" s="1" t="s">
        <v>1805</v>
      </c>
      <c r="D2654" s="1" t="s">
        <v>1814</v>
      </c>
      <c r="E2654" s="1" t="s">
        <v>1981</v>
      </c>
      <c r="F2654" s="3">
        <v>1</v>
      </c>
      <c r="G2654" s="8" t="s">
        <v>2773</v>
      </c>
      <c r="H2654" s="8" t="s">
        <v>5161</v>
      </c>
      <c r="I2654" s="3">
        <v>13</v>
      </c>
      <c r="J2654" s="3" t="s">
        <v>6016</v>
      </c>
      <c r="K2654" s="17" t="str">
        <f>HYPERLINK("http://ictvonline.org/taxonomyHistory.asp?taxnode_id=20172794","ICTVonline=20172794")</f>
        <v>ICTVonline=20172794</v>
      </c>
      <c r="L2654" s="3">
        <v>2653</v>
      </c>
    </row>
    <row r="2655" spans="1:12" x14ac:dyDescent="0.15">
      <c r="A2655" s="1" t="s">
        <v>908</v>
      </c>
      <c r="B2655" s="1" t="s">
        <v>1805</v>
      </c>
      <c r="D2655" s="1" t="s">
        <v>1814</v>
      </c>
      <c r="E2655" s="1" t="s">
        <v>6031</v>
      </c>
      <c r="F2655" s="3">
        <v>0</v>
      </c>
      <c r="G2655" s="8" t="s">
        <v>2773</v>
      </c>
      <c r="H2655" s="8" t="s">
        <v>5159</v>
      </c>
      <c r="I2655" s="3">
        <v>32</v>
      </c>
      <c r="J2655" s="3" t="s">
        <v>6026</v>
      </c>
      <c r="K2655" s="17" t="str">
        <f>HYPERLINK("http://ictvonline.org/taxonomyHistory.asp?taxnode_id=20175760","ICTVonline=20175760")</f>
        <v>ICTVonline=20175760</v>
      </c>
      <c r="L2655" s="3">
        <v>2654</v>
      </c>
    </row>
    <row r="2656" spans="1:12" x14ac:dyDescent="0.15">
      <c r="A2656" s="1" t="s">
        <v>908</v>
      </c>
      <c r="B2656" s="1" t="s">
        <v>1805</v>
      </c>
      <c r="D2656" s="1" t="s">
        <v>1814</v>
      </c>
      <c r="E2656" s="1" t="s">
        <v>1982</v>
      </c>
      <c r="F2656" s="3">
        <v>0</v>
      </c>
      <c r="G2656" s="8" t="s">
        <v>2773</v>
      </c>
      <c r="H2656" s="8" t="s">
        <v>5161</v>
      </c>
      <c r="I2656" s="3">
        <v>13</v>
      </c>
      <c r="J2656" s="3" t="s">
        <v>6016</v>
      </c>
      <c r="K2656" s="17" t="str">
        <f>HYPERLINK("http://ictvonline.org/taxonomyHistory.asp?taxnode_id=20172795","ICTVonline=20172795")</f>
        <v>ICTVonline=20172795</v>
      </c>
      <c r="L2656" s="3">
        <v>2655</v>
      </c>
    </row>
    <row r="2657" spans="1:12" x14ac:dyDescent="0.15">
      <c r="A2657" s="1" t="s">
        <v>908</v>
      </c>
      <c r="B2657" s="1" t="s">
        <v>1805</v>
      </c>
      <c r="D2657" s="1" t="s">
        <v>1983</v>
      </c>
      <c r="E2657" s="1" t="s">
        <v>1984</v>
      </c>
      <c r="F2657" s="3">
        <v>1</v>
      </c>
      <c r="G2657" s="8" t="s">
        <v>2773</v>
      </c>
      <c r="H2657" s="8" t="s">
        <v>5164</v>
      </c>
      <c r="I2657" s="3">
        <v>16</v>
      </c>
      <c r="J2657" s="3" t="s">
        <v>6032</v>
      </c>
      <c r="K2657" s="17" t="str">
        <f>HYPERLINK("http://ictvonline.org/taxonomyHistory.asp?taxnode_id=20172797","ICTVonline=20172797")</f>
        <v>ICTVonline=20172797</v>
      </c>
      <c r="L2657" s="3">
        <v>2656</v>
      </c>
    </row>
    <row r="2658" spans="1:12" x14ac:dyDescent="0.15">
      <c r="A2658" s="1" t="s">
        <v>908</v>
      </c>
      <c r="B2658" s="1" t="s">
        <v>2021</v>
      </c>
      <c r="D2658" s="1" t="s">
        <v>2022</v>
      </c>
      <c r="E2658" s="1" t="s">
        <v>2023</v>
      </c>
      <c r="F2658" s="3">
        <v>0</v>
      </c>
      <c r="G2658" s="8" t="s">
        <v>2773</v>
      </c>
      <c r="H2658" s="8" t="s">
        <v>5162</v>
      </c>
      <c r="I2658" s="3">
        <v>18</v>
      </c>
      <c r="J2658" s="3" t="s">
        <v>5597</v>
      </c>
      <c r="K2658" s="17" t="str">
        <f>HYPERLINK("http://ictvonline.org/taxonomyHistory.asp?taxnode_id=20172801","ICTVonline=20172801")</f>
        <v>ICTVonline=20172801</v>
      </c>
      <c r="L2658" s="3">
        <v>2657</v>
      </c>
    </row>
    <row r="2659" spans="1:12" x14ac:dyDescent="0.15">
      <c r="A2659" s="1" t="s">
        <v>908</v>
      </c>
      <c r="B2659" s="1" t="s">
        <v>2021</v>
      </c>
      <c r="D2659" s="1" t="s">
        <v>2022</v>
      </c>
      <c r="E2659" s="1" t="s">
        <v>2024</v>
      </c>
      <c r="F2659" s="3">
        <v>1</v>
      </c>
      <c r="G2659" s="8" t="s">
        <v>2773</v>
      </c>
      <c r="H2659" s="8" t="s">
        <v>5165</v>
      </c>
      <c r="I2659" s="3">
        <v>17</v>
      </c>
      <c r="J2659" s="3" t="s">
        <v>5970</v>
      </c>
      <c r="K2659" s="17" t="str">
        <f>HYPERLINK("http://ictvonline.org/taxonomyHistory.asp?taxnode_id=20172802","ICTVonline=20172802")</f>
        <v>ICTVonline=20172802</v>
      </c>
      <c r="L2659" s="3">
        <v>2658</v>
      </c>
    </row>
    <row r="2660" spans="1:12" x14ac:dyDescent="0.15">
      <c r="A2660" s="1" t="s">
        <v>908</v>
      </c>
      <c r="B2660" s="1" t="s">
        <v>2021</v>
      </c>
      <c r="D2660" s="1" t="s">
        <v>1857</v>
      </c>
      <c r="E2660" s="1" t="s">
        <v>6033</v>
      </c>
      <c r="F2660" s="3">
        <v>1</v>
      </c>
      <c r="G2660" s="8" t="s">
        <v>2773</v>
      </c>
      <c r="H2660" s="8" t="s">
        <v>5162</v>
      </c>
      <c r="I2660" s="3">
        <v>32</v>
      </c>
      <c r="J2660" s="3" t="s">
        <v>5564</v>
      </c>
      <c r="K2660" s="17" t="str">
        <f>HYPERLINK("http://ictvonline.org/taxonomyHistory.asp?taxnode_id=20172804","ICTVonline=20172804")</f>
        <v>ICTVonline=20172804</v>
      </c>
      <c r="L2660" s="3">
        <v>2659</v>
      </c>
    </row>
    <row r="2661" spans="1:12" x14ac:dyDescent="0.15">
      <c r="A2661" s="1" t="s">
        <v>908</v>
      </c>
      <c r="B2661" s="1" t="s">
        <v>2021</v>
      </c>
      <c r="D2661" s="1" t="s">
        <v>2025</v>
      </c>
      <c r="E2661" s="1" t="s">
        <v>2026</v>
      </c>
      <c r="F2661" s="3">
        <v>1</v>
      </c>
      <c r="G2661" s="8" t="s">
        <v>2773</v>
      </c>
      <c r="H2661" s="8" t="s">
        <v>5161</v>
      </c>
      <c r="I2661" s="3">
        <v>20</v>
      </c>
      <c r="J2661" s="3" t="s">
        <v>5628</v>
      </c>
      <c r="K2661" s="17" t="str">
        <f>HYPERLINK("http://ictvonline.org/taxonomyHistory.asp?taxnode_id=20172806","ICTVonline=20172806")</f>
        <v>ICTVonline=20172806</v>
      </c>
      <c r="L2661" s="3">
        <v>2660</v>
      </c>
    </row>
    <row r="2662" spans="1:12" x14ac:dyDescent="0.15">
      <c r="A2662" s="1" t="s">
        <v>908</v>
      </c>
      <c r="B2662" s="1" t="s">
        <v>2021</v>
      </c>
      <c r="D2662" s="1" t="s">
        <v>2027</v>
      </c>
      <c r="E2662" s="1" t="s">
        <v>2028</v>
      </c>
      <c r="F2662" s="3">
        <v>1</v>
      </c>
      <c r="G2662" s="8" t="s">
        <v>2773</v>
      </c>
      <c r="H2662" s="8" t="s">
        <v>5161</v>
      </c>
      <c r="I2662" s="3">
        <v>20</v>
      </c>
      <c r="J2662" s="3" t="s">
        <v>5628</v>
      </c>
      <c r="K2662" s="17" t="str">
        <f>HYPERLINK("http://ictvonline.org/taxonomyHistory.asp?taxnode_id=20172808","ICTVonline=20172808")</f>
        <v>ICTVonline=20172808</v>
      </c>
      <c r="L2662" s="3">
        <v>2661</v>
      </c>
    </row>
    <row r="2663" spans="1:12" x14ac:dyDescent="0.15">
      <c r="A2663" s="1" t="s">
        <v>908</v>
      </c>
      <c r="B2663" s="1" t="s">
        <v>2021</v>
      </c>
      <c r="D2663" s="1" t="s">
        <v>2029</v>
      </c>
      <c r="E2663" s="1" t="s">
        <v>2030</v>
      </c>
      <c r="F2663" s="3">
        <v>0</v>
      </c>
      <c r="G2663" s="8" t="s">
        <v>2773</v>
      </c>
      <c r="H2663" s="8" t="s">
        <v>5161</v>
      </c>
      <c r="I2663" s="3">
        <v>17</v>
      </c>
      <c r="J2663" s="3" t="s">
        <v>5970</v>
      </c>
      <c r="K2663" s="17" t="str">
        <f>HYPERLINK("http://ictvonline.org/taxonomyHistory.asp?taxnode_id=20172810","ICTVonline=20172810")</f>
        <v>ICTVonline=20172810</v>
      </c>
      <c r="L2663" s="3">
        <v>2662</v>
      </c>
    </row>
    <row r="2664" spans="1:12" x14ac:dyDescent="0.15">
      <c r="A2664" s="1" t="s">
        <v>908</v>
      </c>
      <c r="B2664" s="1" t="s">
        <v>2021</v>
      </c>
      <c r="D2664" s="1" t="s">
        <v>2029</v>
      </c>
      <c r="E2664" s="1" t="s">
        <v>2031</v>
      </c>
      <c r="F2664" s="3">
        <v>1</v>
      </c>
      <c r="G2664" s="8" t="s">
        <v>2773</v>
      </c>
      <c r="H2664" s="8" t="s">
        <v>5169</v>
      </c>
      <c r="I2664" s="3">
        <v>18</v>
      </c>
      <c r="J2664" s="3" t="s">
        <v>5597</v>
      </c>
      <c r="K2664" s="17" t="str">
        <f>HYPERLINK("http://ictvonline.org/taxonomyHistory.asp?taxnode_id=20172811","ICTVonline=20172811")</f>
        <v>ICTVonline=20172811</v>
      </c>
      <c r="L2664" s="3">
        <v>2663</v>
      </c>
    </row>
    <row r="2665" spans="1:12" x14ac:dyDescent="0.15">
      <c r="A2665" s="1" t="s">
        <v>908</v>
      </c>
      <c r="B2665" s="1" t="s">
        <v>74</v>
      </c>
      <c r="D2665" s="1" t="s">
        <v>75</v>
      </c>
      <c r="E2665" s="1" t="s">
        <v>1586</v>
      </c>
      <c r="F2665" s="3">
        <v>1</v>
      </c>
      <c r="G2665" s="8" t="s">
        <v>2773</v>
      </c>
      <c r="H2665" s="8" t="s">
        <v>5165</v>
      </c>
      <c r="I2665" s="3">
        <v>26</v>
      </c>
      <c r="J2665" s="3" t="s">
        <v>5934</v>
      </c>
      <c r="K2665" s="17" t="str">
        <f>HYPERLINK("http://ictvonline.org/taxonomyHistory.asp?taxnode_id=20172815","ICTVonline=20172815")</f>
        <v>ICTVonline=20172815</v>
      </c>
      <c r="L2665" s="3">
        <v>2664</v>
      </c>
    </row>
    <row r="2666" spans="1:12" x14ac:dyDescent="0.15">
      <c r="A2666" s="1" t="s">
        <v>908</v>
      </c>
      <c r="B2666" s="1" t="s">
        <v>758</v>
      </c>
      <c r="D2666" s="1" t="s">
        <v>759</v>
      </c>
      <c r="E2666" s="1" t="s">
        <v>2242</v>
      </c>
      <c r="F2666" s="3">
        <v>0</v>
      </c>
      <c r="G2666" s="8" t="s">
        <v>2776</v>
      </c>
      <c r="H2666" s="8" t="s">
        <v>5159</v>
      </c>
      <c r="I2666" s="3">
        <v>27</v>
      </c>
      <c r="J2666" s="3" t="s">
        <v>6034</v>
      </c>
      <c r="K2666" s="17" t="str">
        <f>HYPERLINK("http://ictvonline.org/taxonomyHistory.asp?taxnode_id=20172891","ICTVonline=20172891")</f>
        <v>ICTVonline=20172891</v>
      </c>
      <c r="L2666" s="3">
        <v>2665</v>
      </c>
    </row>
    <row r="2667" spans="1:12" x14ac:dyDescent="0.15">
      <c r="A2667" s="1" t="s">
        <v>908</v>
      </c>
      <c r="B2667" s="1" t="s">
        <v>758</v>
      </c>
      <c r="D2667" s="1" t="s">
        <v>759</v>
      </c>
      <c r="E2667" s="1" t="s">
        <v>2243</v>
      </c>
      <c r="F2667" s="3">
        <v>0</v>
      </c>
      <c r="G2667" s="8" t="s">
        <v>2776</v>
      </c>
      <c r="H2667" s="8" t="s">
        <v>5159</v>
      </c>
      <c r="I2667" s="3">
        <v>27</v>
      </c>
      <c r="J2667" s="3" t="s">
        <v>6034</v>
      </c>
      <c r="K2667" s="17" t="str">
        <f>HYPERLINK("http://ictvonline.org/taxonomyHistory.asp?taxnode_id=20172892","ICTVonline=20172892")</f>
        <v>ICTVonline=20172892</v>
      </c>
      <c r="L2667" s="3">
        <v>2666</v>
      </c>
    </row>
    <row r="2668" spans="1:12" x14ac:dyDescent="0.15">
      <c r="A2668" s="1" t="s">
        <v>908</v>
      </c>
      <c r="B2668" s="1" t="s">
        <v>758</v>
      </c>
      <c r="D2668" s="1" t="s">
        <v>759</v>
      </c>
      <c r="E2668" s="1" t="s">
        <v>2244</v>
      </c>
      <c r="F2668" s="3">
        <v>0</v>
      </c>
      <c r="G2668" s="8" t="s">
        <v>2776</v>
      </c>
      <c r="H2668" s="8" t="s">
        <v>5159</v>
      </c>
      <c r="I2668" s="3">
        <v>27</v>
      </c>
      <c r="J2668" s="3" t="s">
        <v>6034</v>
      </c>
      <c r="K2668" s="17" t="str">
        <f>HYPERLINK("http://ictvonline.org/taxonomyHistory.asp?taxnode_id=20172893","ICTVonline=20172893")</f>
        <v>ICTVonline=20172893</v>
      </c>
      <c r="L2668" s="3">
        <v>2667</v>
      </c>
    </row>
    <row r="2669" spans="1:12" x14ac:dyDescent="0.15">
      <c r="A2669" s="1" t="s">
        <v>908</v>
      </c>
      <c r="B2669" s="1" t="s">
        <v>758</v>
      </c>
      <c r="D2669" s="1" t="s">
        <v>759</v>
      </c>
      <c r="E2669" s="1" t="s">
        <v>2245</v>
      </c>
      <c r="F2669" s="3">
        <v>0</v>
      </c>
      <c r="G2669" s="8" t="s">
        <v>2776</v>
      </c>
      <c r="H2669" s="8" t="s">
        <v>5159</v>
      </c>
      <c r="I2669" s="3">
        <v>27</v>
      </c>
      <c r="J2669" s="3" t="s">
        <v>6034</v>
      </c>
      <c r="K2669" s="17" t="str">
        <f>HYPERLINK("http://ictvonline.org/taxonomyHistory.asp?taxnode_id=20172894","ICTVonline=20172894")</f>
        <v>ICTVonline=20172894</v>
      </c>
      <c r="L2669" s="3">
        <v>2668</v>
      </c>
    </row>
    <row r="2670" spans="1:12" x14ac:dyDescent="0.15">
      <c r="A2670" s="1" t="s">
        <v>908</v>
      </c>
      <c r="B2670" s="1" t="s">
        <v>758</v>
      </c>
      <c r="D2670" s="1" t="s">
        <v>759</v>
      </c>
      <c r="E2670" s="1" t="s">
        <v>760</v>
      </c>
      <c r="F2670" s="3">
        <v>0</v>
      </c>
      <c r="G2670" s="8" t="s">
        <v>2776</v>
      </c>
      <c r="H2670" s="8" t="s">
        <v>5159</v>
      </c>
      <c r="I2670" s="3">
        <v>20</v>
      </c>
      <c r="J2670" s="3" t="s">
        <v>5628</v>
      </c>
      <c r="K2670" s="17" t="str">
        <f>HYPERLINK("http://ictvonline.org/taxonomyHistory.asp?taxnode_id=20172895","ICTVonline=20172895")</f>
        <v>ICTVonline=20172895</v>
      </c>
      <c r="L2670" s="3">
        <v>2669</v>
      </c>
    </row>
    <row r="2671" spans="1:12" x14ac:dyDescent="0.15">
      <c r="A2671" s="1" t="s">
        <v>908</v>
      </c>
      <c r="B2671" s="1" t="s">
        <v>758</v>
      </c>
      <c r="D2671" s="1" t="s">
        <v>759</v>
      </c>
      <c r="E2671" s="1" t="s">
        <v>761</v>
      </c>
      <c r="F2671" s="3">
        <v>0</v>
      </c>
      <c r="G2671" s="8" t="s">
        <v>2776</v>
      </c>
      <c r="H2671" s="8" t="s">
        <v>5161</v>
      </c>
      <c r="I2671" s="3">
        <v>20</v>
      </c>
      <c r="J2671" s="3" t="s">
        <v>5628</v>
      </c>
      <c r="K2671" s="17" t="str">
        <f>HYPERLINK("http://ictvonline.org/taxonomyHistory.asp?taxnode_id=20172896","ICTVonline=20172896")</f>
        <v>ICTVonline=20172896</v>
      </c>
      <c r="L2671" s="3">
        <v>2670</v>
      </c>
    </row>
    <row r="2672" spans="1:12" x14ac:dyDescent="0.15">
      <c r="A2672" s="1" t="s">
        <v>908</v>
      </c>
      <c r="B2672" s="1" t="s">
        <v>758</v>
      </c>
      <c r="D2672" s="1" t="s">
        <v>759</v>
      </c>
      <c r="E2672" s="1" t="s">
        <v>762</v>
      </c>
      <c r="F2672" s="3">
        <v>1</v>
      </c>
      <c r="G2672" s="8" t="s">
        <v>2776</v>
      </c>
      <c r="H2672" s="8" t="s">
        <v>5161</v>
      </c>
      <c r="I2672" s="3">
        <v>20</v>
      </c>
      <c r="J2672" s="3" t="s">
        <v>5628</v>
      </c>
      <c r="K2672" s="17" t="str">
        <f>HYPERLINK("http://ictvonline.org/taxonomyHistory.asp?taxnode_id=20172897","ICTVonline=20172897")</f>
        <v>ICTVonline=20172897</v>
      </c>
      <c r="L2672" s="3">
        <v>2671</v>
      </c>
    </row>
    <row r="2673" spans="1:12" x14ac:dyDescent="0.15">
      <c r="A2673" s="1" t="s">
        <v>908</v>
      </c>
      <c r="B2673" s="1" t="s">
        <v>758</v>
      </c>
      <c r="D2673" s="1" t="s">
        <v>759</v>
      </c>
      <c r="E2673" s="1" t="s">
        <v>6035</v>
      </c>
      <c r="F2673" s="3">
        <v>0</v>
      </c>
      <c r="G2673" s="8" t="s">
        <v>2776</v>
      </c>
      <c r="H2673" s="8" t="s">
        <v>5162</v>
      </c>
      <c r="I2673" s="3">
        <v>32</v>
      </c>
      <c r="J2673" s="3" t="s">
        <v>5564</v>
      </c>
      <c r="K2673" s="17" t="str">
        <f>HYPERLINK("http://ictvonline.org/taxonomyHistory.asp?taxnode_id=20172898","ICTVonline=20172898")</f>
        <v>ICTVonline=20172898</v>
      </c>
      <c r="L2673" s="3">
        <v>2672</v>
      </c>
    </row>
    <row r="2674" spans="1:12" x14ac:dyDescent="0.15">
      <c r="A2674" s="1" t="s">
        <v>908</v>
      </c>
      <c r="B2674" s="1" t="s">
        <v>758</v>
      </c>
      <c r="D2674" s="1" t="s">
        <v>759</v>
      </c>
      <c r="E2674" s="1" t="s">
        <v>2246</v>
      </c>
      <c r="F2674" s="3">
        <v>0</v>
      </c>
      <c r="G2674" s="8" t="s">
        <v>2776</v>
      </c>
      <c r="H2674" s="8" t="s">
        <v>5159</v>
      </c>
      <c r="I2674" s="3">
        <v>27</v>
      </c>
      <c r="J2674" s="3" t="s">
        <v>6034</v>
      </c>
      <c r="K2674" s="17" t="str">
        <f>HYPERLINK("http://ictvonline.org/taxonomyHistory.asp?taxnode_id=20172899","ICTVonline=20172899")</f>
        <v>ICTVonline=20172899</v>
      </c>
      <c r="L2674" s="3">
        <v>2673</v>
      </c>
    </row>
    <row r="2675" spans="1:12" x14ac:dyDescent="0.15">
      <c r="A2675" s="1" t="s">
        <v>908</v>
      </c>
      <c r="B2675" s="1" t="s">
        <v>763</v>
      </c>
      <c r="D2675" s="1" t="s">
        <v>764</v>
      </c>
      <c r="E2675" s="1" t="s">
        <v>3894</v>
      </c>
      <c r="F2675" s="3">
        <v>0</v>
      </c>
      <c r="G2675" s="8" t="s">
        <v>3895</v>
      </c>
      <c r="H2675" s="8" t="s">
        <v>5159</v>
      </c>
      <c r="I2675" s="3">
        <v>30</v>
      </c>
      <c r="J2675" s="3" t="s">
        <v>6036</v>
      </c>
      <c r="K2675" s="17" t="str">
        <f>HYPERLINK("http://ictvonline.org/taxonomyHistory.asp?taxnode_id=20172903","ICTVonline=20172903")</f>
        <v>ICTVonline=20172903</v>
      </c>
      <c r="L2675" s="3">
        <v>2674</v>
      </c>
    </row>
    <row r="2676" spans="1:12" x14ac:dyDescent="0.15">
      <c r="A2676" s="1" t="s">
        <v>908</v>
      </c>
      <c r="B2676" s="1" t="s">
        <v>763</v>
      </c>
      <c r="D2676" s="1" t="s">
        <v>764</v>
      </c>
      <c r="E2676" s="1" t="s">
        <v>5218</v>
      </c>
      <c r="F2676" s="3">
        <v>0</v>
      </c>
      <c r="G2676" s="8" t="s">
        <v>3895</v>
      </c>
      <c r="H2676" s="8" t="s">
        <v>5162</v>
      </c>
      <c r="I2676" s="3">
        <v>31</v>
      </c>
      <c r="J2676" s="3" t="s">
        <v>6037</v>
      </c>
      <c r="K2676" s="17" t="str">
        <f>HYPERLINK("http://ictvonline.org/taxonomyHistory.asp?taxnode_id=20172904","ICTVonline=20172904")</f>
        <v>ICTVonline=20172904</v>
      </c>
      <c r="L2676" s="3">
        <v>2675</v>
      </c>
    </row>
    <row r="2677" spans="1:12" x14ac:dyDescent="0.15">
      <c r="A2677" s="1" t="s">
        <v>908</v>
      </c>
      <c r="B2677" s="1" t="s">
        <v>763</v>
      </c>
      <c r="D2677" s="1" t="s">
        <v>764</v>
      </c>
      <c r="E2677" s="1" t="s">
        <v>5219</v>
      </c>
      <c r="F2677" s="3">
        <v>0</v>
      </c>
      <c r="G2677" s="8" t="s">
        <v>3895</v>
      </c>
      <c r="H2677" s="8" t="s">
        <v>5162</v>
      </c>
      <c r="I2677" s="3">
        <v>31</v>
      </c>
      <c r="J2677" s="3" t="s">
        <v>6037</v>
      </c>
      <c r="K2677" s="17" t="str">
        <f>HYPERLINK("http://ictvonline.org/taxonomyHistory.asp?taxnode_id=20172905","ICTVonline=20172905")</f>
        <v>ICTVonline=20172905</v>
      </c>
      <c r="L2677" s="3">
        <v>2676</v>
      </c>
    </row>
    <row r="2678" spans="1:12" x14ac:dyDescent="0.15">
      <c r="A2678" s="1" t="s">
        <v>908</v>
      </c>
      <c r="B2678" s="1" t="s">
        <v>763</v>
      </c>
      <c r="D2678" s="1" t="s">
        <v>764</v>
      </c>
      <c r="E2678" s="1" t="s">
        <v>5220</v>
      </c>
      <c r="F2678" s="3">
        <v>0</v>
      </c>
      <c r="G2678" s="8" t="s">
        <v>3895</v>
      </c>
      <c r="H2678" s="8" t="s">
        <v>5162</v>
      </c>
      <c r="I2678" s="3">
        <v>31</v>
      </c>
      <c r="J2678" s="3" t="s">
        <v>6037</v>
      </c>
      <c r="K2678" s="17" t="str">
        <f>HYPERLINK("http://ictvonline.org/taxonomyHistory.asp?taxnode_id=20172906","ICTVonline=20172906")</f>
        <v>ICTVonline=20172906</v>
      </c>
      <c r="L2678" s="3">
        <v>2677</v>
      </c>
    </row>
    <row r="2679" spans="1:12" x14ac:dyDescent="0.15">
      <c r="A2679" s="1" t="s">
        <v>908</v>
      </c>
      <c r="B2679" s="1" t="s">
        <v>763</v>
      </c>
      <c r="D2679" s="1" t="s">
        <v>764</v>
      </c>
      <c r="E2679" s="1" t="s">
        <v>4876</v>
      </c>
      <c r="F2679" s="3">
        <v>0</v>
      </c>
      <c r="G2679" s="8" t="s">
        <v>3895</v>
      </c>
      <c r="H2679" s="8" t="s">
        <v>5159</v>
      </c>
      <c r="I2679" s="3">
        <v>31</v>
      </c>
      <c r="J2679" s="3" t="s">
        <v>6037</v>
      </c>
      <c r="K2679" s="17" t="str">
        <f>HYPERLINK("http://ictvonline.org/taxonomyHistory.asp?taxnode_id=20172907","ICTVonline=20172907")</f>
        <v>ICTVonline=20172907</v>
      </c>
      <c r="L2679" s="3">
        <v>2678</v>
      </c>
    </row>
    <row r="2680" spans="1:12" x14ac:dyDescent="0.15">
      <c r="A2680" s="1" t="s">
        <v>908</v>
      </c>
      <c r="B2680" s="1" t="s">
        <v>763</v>
      </c>
      <c r="D2680" s="1" t="s">
        <v>764</v>
      </c>
      <c r="E2680" s="1" t="s">
        <v>4877</v>
      </c>
      <c r="F2680" s="3">
        <v>0</v>
      </c>
      <c r="G2680" s="8" t="s">
        <v>3895</v>
      </c>
      <c r="H2680" s="8" t="s">
        <v>5159</v>
      </c>
      <c r="I2680" s="3">
        <v>31</v>
      </c>
      <c r="J2680" s="3" t="s">
        <v>6037</v>
      </c>
      <c r="K2680" s="17" t="str">
        <f>HYPERLINK("http://ictvonline.org/taxonomyHistory.asp?taxnode_id=20172908","ICTVonline=20172908")</f>
        <v>ICTVonline=20172908</v>
      </c>
      <c r="L2680" s="3">
        <v>2679</v>
      </c>
    </row>
    <row r="2681" spans="1:12" x14ac:dyDescent="0.15">
      <c r="A2681" s="1" t="s">
        <v>908</v>
      </c>
      <c r="B2681" s="1" t="s">
        <v>763</v>
      </c>
      <c r="D2681" s="1" t="s">
        <v>764</v>
      </c>
      <c r="E2681" s="1" t="s">
        <v>4878</v>
      </c>
      <c r="F2681" s="3">
        <v>0</v>
      </c>
      <c r="G2681" s="8" t="s">
        <v>3895</v>
      </c>
      <c r="H2681" s="8" t="s">
        <v>5159</v>
      </c>
      <c r="I2681" s="3">
        <v>31</v>
      </c>
      <c r="J2681" s="3" t="s">
        <v>6037</v>
      </c>
      <c r="K2681" s="17" t="str">
        <f>HYPERLINK("http://ictvonline.org/taxonomyHistory.asp?taxnode_id=20172909","ICTVonline=20172909")</f>
        <v>ICTVonline=20172909</v>
      </c>
      <c r="L2681" s="3">
        <v>2680</v>
      </c>
    </row>
    <row r="2682" spans="1:12" x14ac:dyDescent="0.15">
      <c r="A2682" s="1" t="s">
        <v>908</v>
      </c>
      <c r="B2682" s="1" t="s">
        <v>763</v>
      </c>
      <c r="D2682" s="1" t="s">
        <v>764</v>
      </c>
      <c r="E2682" s="1" t="s">
        <v>4879</v>
      </c>
      <c r="F2682" s="3">
        <v>0</v>
      </c>
      <c r="G2682" s="8" t="s">
        <v>3895</v>
      </c>
      <c r="H2682" s="8" t="s">
        <v>5159</v>
      </c>
      <c r="I2682" s="3">
        <v>31</v>
      </c>
      <c r="J2682" s="3" t="s">
        <v>6037</v>
      </c>
      <c r="K2682" s="17" t="str">
        <f>HYPERLINK("http://ictvonline.org/taxonomyHistory.asp?taxnode_id=20172910","ICTVonline=20172910")</f>
        <v>ICTVonline=20172910</v>
      </c>
      <c r="L2682" s="3">
        <v>2681</v>
      </c>
    </row>
    <row r="2683" spans="1:12" x14ac:dyDescent="0.15">
      <c r="A2683" s="1" t="s">
        <v>908</v>
      </c>
      <c r="B2683" s="1" t="s">
        <v>763</v>
      </c>
      <c r="D2683" s="1" t="s">
        <v>764</v>
      </c>
      <c r="E2683" s="1" t="s">
        <v>4880</v>
      </c>
      <c r="F2683" s="3">
        <v>0</v>
      </c>
      <c r="G2683" s="8" t="s">
        <v>3895</v>
      </c>
      <c r="H2683" s="8" t="s">
        <v>5159</v>
      </c>
      <c r="I2683" s="3">
        <v>31</v>
      </c>
      <c r="J2683" s="3" t="s">
        <v>6037</v>
      </c>
      <c r="K2683" s="17" t="str">
        <f>HYPERLINK("http://ictvonline.org/taxonomyHistory.asp?taxnode_id=20172911","ICTVonline=20172911")</f>
        <v>ICTVonline=20172911</v>
      </c>
      <c r="L2683" s="3">
        <v>2682</v>
      </c>
    </row>
    <row r="2684" spans="1:12" x14ac:dyDescent="0.15">
      <c r="A2684" s="1" t="s">
        <v>908</v>
      </c>
      <c r="B2684" s="1" t="s">
        <v>763</v>
      </c>
      <c r="D2684" s="1" t="s">
        <v>764</v>
      </c>
      <c r="E2684" s="1" t="s">
        <v>6038</v>
      </c>
      <c r="F2684" s="3">
        <v>0</v>
      </c>
      <c r="G2684" s="8" t="s">
        <v>3895</v>
      </c>
      <c r="H2684" s="8" t="s">
        <v>5159</v>
      </c>
      <c r="I2684" s="3">
        <v>32</v>
      </c>
      <c r="J2684" s="3" t="s">
        <v>6039</v>
      </c>
      <c r="K2684" s="17" t="str">
        <f>HYPERLINK("http://ictvonline.org/taxonomyHistory.asp?taxnode_id=20175767","ICTVonline=20175767")</f>
        <v>ICTVonline=20175767</v>
      </c>
      <c r="L2684" s="3">
        <v>2683</v>
      </c>
    </row>
    <row r="2685" spans="1:12" x14ac:dyDescent="0.15">
      <c r="A2685" s="1" t="s">
        <v>908</v>
      </c>
      <c r="B2685" s="1" t="s">
        <v>763</v>
      </c>
      <c r="D2685" s="1" t="s">
        <v>764</v>
      </c>
      <c r="E2685" s="1" t="s">
        <v>1810</v>
      </c>
      <c r="F2685" s="3">
        <v>0</v>
      </c>
      <c r="G2685" s="8" t="s">
        <v>3895</v>
      </c>
      <c r="H2685" s="8" t="s">
        <v>5159</v>
      </c>
      <c r="I2685" s="3">
        <v>14</v>
      </c>
      <c r="J2685" s="3" t="s">
        <v>6027</v>
      </c>
      <c r="K2685" s="17" t="str">
        <f>HYPERLINK("http://ictvonline.org/taxonomyHistory.asp?taxnode_id=20172912","ICTVonline=20172912")</f>
        <v>ICTVonline=20172912</v>
      </c>
      <c r="L2685" s="3">
        <v>2684</v>
      </c>
    </row>
    <row r="2686" spans="1:12" x14ac:dyDescent="0.15">
      <c r="A2686" s="1" t="s">
        <v>908</v>
      </c>
      <c r="B2686" s="1" t="s">
        <v>763</v>
      </c>
      <c r="D2686" s="1" t="s">
        <v>764</v>
      </c>
      <c r="E2686" s="1" t="s">
        <v>1811</v>
      </c>
      <c r="F2686" s="3">
        <v>0</v>
      </c>
      <c r="G2686" s="8" t="s">
        <v>3895</v>
      </c>
      <c r="H2686" s="8" t="s">
        <v>5159</v>
      </c>
      <c r="I2686" s="3">
        <v>21</v>
      </c>
      <c r="J2686" s="3" t="s">
        <v>6040</v>
      </c>
      <c r="K2686" s="17" t="str">
        <f>HYPERLINK("http://ictvonline.org/taxonomyHistory.asp?taxnode_id=20172913","ICTVonline=20172913")</f>
        <v>ICTVonline=20172913</v>
      </c>
      <c r="L2686" s="3">
        <v>2685</v>
      </c>
    </row>
    <row r="2687" spans="1:12" x14ac:dyDescent="0.15">
      <c r="A2687" s="1" t="s">
        <v>908</v>
      </c>
      <c r="B2687" s="1" t="s">
        <v>763</v>
      </c>
      <c r="D2687" s="1" t="s">
        <v>764</v>
      </c>
      <c r="E2687" s="1" t="s">
        <v>3896</v>
      </c>
      <c r="F2687" s="3">
        <v>0</v>
      </c>
      <c r="G2687" s="8" t="s">
        <v>3895</v>
      </c>
      <c r="H2687" s="8" t="s">
        <v>5159</v>
      </c>
      <c r="I2687" s="3">
        <v>30</v>
      </c>
      <c r="J2687" s="3" t="s">
        <v>6036</v>
      </c>
      <c r="K2687" s="17" t="str">
        <f>HYPERLINK("http://ictvonline.org/taxonomyHistory.asp?taxnode_id=20172914","ICTVonline=20172914")</f>
        <v>ICTVonline=20172914</v>
      </c>
      <c r="L2687" s="3">
        <v>2686</v>
      </c>
    </row>
    <row r="2688" spans="1:12" x14ac:dyDescent="0.15">
      <c r="A2688" s="1" t="s">
        <v>908</v>
      </c>
      <c r="B2688" s="1" t="s">
        <v>763</v>
      </c>
      <c r="D2688" s="1" t="s">
        <v>764</v>
      </c>
      <c r="E2688" s="1" t="s">
        <v>5221</v>
      </c>
      <c r="F2688" s="3">
        <v>0</v>
      </c>
      <c r="G2688" s="8" t="s">
        <v>3895</v>
      </c>
      <c r="H2688" s="8" t="s">
        <v>5162</v>
      </c>
      <c r="I2688" s="3">
        <v>31</v>
      </c>
      <c r="J2688" s="3" t="s">
        <v>6037</v>
      </c>
      <c r="K2688" s="17" t="str">
        <f>HYPERLINK("http://ictvonline.org/taxonomyHistory.asp?taxnode_id=20172915","ICTVonline=20172915")</f>
        <v>ICTVonline=20172915</v>
      </c>
      <c r="L2688" s="3">
        <v>2687</v>
      </c>
    </row>
    <row r="2689" spans="1:12" x14ac:dyDescent="0.15">
      <c r="A2689" s="1" t="s">
        <v>908</v>
      </c>
      <c r="B2689" s="1" t="s">
        <v>763</v>
      </c>
      <c r="D2689" s="1" t="s">
        <v>764</v>
      </c>
      <c r="E2689" s="1" t="s">
        <v>766</v>
      </c>
      <c r="F2689" s="3">
        <v>0</v>
      </c>
      <c r="G2689" s="8" t="s">
        <v>3895</v>
      </c>
      <c r="H2689" s="8" t="s">
        <v>5159</v>
      </c>
      <c r="I2689" s="3">
        <v>24</v>
      </c>
      <c r="J2689" s="3" t="s">
        <v>6041</v>
      </c>
      <c r="K2689" s="17" t="str">
        <f>HYPERLINK("http://ictvonline.org/taxonomyHistory.asp?taxnode_id=20172916","ICTVonline=20172916")</f>
        <v>ICTVonline=20172916</v>
      </c>
      <c r="L2689" s="3">
        <v>2688</v>
      </c>
    </row>
    <row r="2690" spans="1:12" x14ac:dyDescent="0.15">
      <c r="A2690" s="1" t="s">
        <v>908</v>
      </c>
      <c r="B2690" s="1" t="s">
        <v>763</v>
      </c>
      <c r="D2690" s="1" t="s">
        <v>764</v>
      </c>
      <c r="E2690" s="1" t="s">
        <v>3897</v>
      </c>
      <c r="F2690" s="3">
        <v>0</v>
      </c>
      <c r="G2690" s="8" t="s">
        <v>3895</v>
      </c>
      <c r="H2690" s="8" t="s">
        <v>5159</v>
      </c>
      <c r="I2690" s="3">
        <v>30</v>
      </c>
      <c r="J2690" s="3" t="s">
        <v>6036</v>
      </c>
      <c r="K2690" s="17" t="str">
        <f>HYPERLINK("http://ictvonline.org/taxonomyHistory.asp?taxnode_id=20172917","ICTVonline=20172917")</f>
        <v>ICTVonline=20172917</v>
      </c>
      <c r="L2690" s="3">
        <v>2689</v>
      </c>
    </row>
    <row r="2691" spans="1:12" x14ac:dyDescent="0.15">
      <c r="A2691" s="1" t="s">
        <v>908</v>
      </c>
      <c r="B2691" s="1" t="s">
        <v>763</v>
      </c>
      <c r="D2691" s="1" t="s">
        <v>764</v>
      </c>
      <c r="E2691" s="1" t="s">
        <v>1223</v>
      </c>
      <c r="F2691" s="3">
        <v>0</v>
      </c>
      <c r="G2691" s="8" t="s">
        <v>3895</v>
      </c>
      <c r="H2691" s="8" t="s">
        <v>5159</v>
      </c>
      <c r="I2691" s="3">
        <v>24</v>
      </c>
      <c r="J2691" s="3" t="s">
        <v>6042</v>
      </c>
      <c r="K2691" s="17" t="str">
        <f>HYPERLINK("http://ictvonline.org/taxonomyHistory.asp?taxnode_id=20172918","ICTVonline=20172918")</f>
        <v>ICTVonline=20172918</v>
      </c>
      <c r="L2691" s="3">
        <v>2690</v>
      </c>
    </row>
    <row r="2692" spans="1:12" x14ac:dyDescent="0.15">
      <c r="A2692" s="1" t="s">
        <v>908</v>
      </c>
      <c r="B2692" s="1" t="s">
        <v>763</v>
      </c>
      <c r="D2692" s="1" t="s">
        <v>764</v>
      </c>
      <c r="E2692" s="1" t="s">
        <v>1224</v>
      </c>
      <c r="F2692" s="3">
        <v>0</v>
      </c>
      <c r="G2692" s="8" t="s">
        <v>3895</v>
      </c>
      <c r="H2692" s="8" t="s">
        <v>5159</v>
      </c>
      <c r="I2692" s="3">
        <v>21</v>
      </c>
      <c r="J2692" s="3" t="s">
        <v>6040</v>
      </c>
      <c r="K2692" s="17" t="str">
        <f>HYPERLINK("http://ictvonline.org/taxonomyHistory.asp?taxnode_id=20172919","ICTVonline=20172919")</f>
        <v>ICTVonline=20172919</v>
      </c>
      <c r="L2692" s="3">
        <v>2691</v>
      </c>
    </row>
    <row r="2693" spans="1:12" x14ac:dyDescent="0.15">
      <c r="A2693" s="1" t="s">
        <v>908</v>
      </c>
      <c r="B2693" s="1" t="s">
        <v>763</v>
      </c>
      <c r="D2693" s="1" t="s">
        <v>764</v>
      </c>
      <c r="E2693" s="1" t="s">
        <v>1225</v>
      </c>
      <c r="F2693" s="3">
        <v>0</v>
      </c>
      <c r="G2693" s="8" t="s">
        <v>3895</v>
      </c>
      <c r="H2693" s="8" t="s">
        <v>5159</v>
      </c>
      <c r="I2693" s="3">
        <v>24</v>
      </c>
      <c r="J2693" s="3" t="s">
        <v>6042</v>
      </c>
      <c r="K2693" s="17" t="str">
        <f>HYPERLINK("http://ictvonline.org/taxonomyHistory.asp?taxnode_id=20172920","ICTVonline=20172920")</f>
        <v>ICTVonline=20172920</v>
      </c>
      <c r="L2693" s="3">
        <v>2692</v>
      </c>
    </row>
    <row r="2694" spans="1:12" x14ac:dyDescent="0.15">
      <c r="A2694" s="1" t="s">
        <v>908</v>
      </c>
      <c r="B2694" s="1" t="s">
        <v>763</v>
      </c>
      <c r="D2694" s="1" t="s">
        <v>764</v>
      </c>
      <c r="E2694" s="1" t="s">
        <v>5222</v>
      </c>
      <c r="F2694" s="3">
        <v>0</v>
      </c>
      <c r="G2694" s="8" t="s">
        <v>3895</v>
      </c>
      <c r="H2694" s="8" t="s">
        <v>5162</v>
      </c>
      <c r="I2694" s="3">
        <v>31</v>
      </c>
      <c r="J2694" s="3" t="s">
        <v>6037</v>
      </c>
      <c r="K2694" s="17" t="str">
        <f>HYPERLINK("http://ictvonline.org/taxonomyHistory.asp?taxnode_id=20172921","ICTVonline=20172921")</f>
        <v>ICTVonline=20172921</v>
      </c>
      <c r="L2694" s="3">
        <v>2693</v>
      </c>
    </row>
    <row r="2695" spans="1:12" x14ac:dyDescent="0.15">
      <c r="A2695" s="1" t="s">
        <v>908</v>
      </c>
      <c r="B2695" s="1" t="s">
        <v>763</v>
      </c>
      <c r="D2695" s="1" t="s">
        <v>764</v>
      </c>
      <c r="E2695" s="1" t="s">
        <v>3898</v>
      </c>
      <c r="F2695" s="3">
        <v>0</v>
      </c>
      <c r="G2695" s="8" t="s">
        <v>3895</v>
      </c>
      <c r="H2695" s="8" t="s">
        <v>5159</v>
      </c>
      <c r="I2695" s="3">
        <v>30</v>
      </c>
      <c r="J2695" s="3" t="s">
        <v>6036</v>
      </c>
      <c r="K2695" s="17" t="str">
        <f>HYPERLINK("http://ictvonline.org/taxonomyHistory.asp?taxnode_id=20172922","ICTVonline=20172922")</f>
        <v>ICTVonline=20172922</v>
      </c>
      <c r="L2695" s="3">
        <v>2694</v>
      </c>
    </row>
    <row r="2696" spans="1:12" x14ac:dyDescent="0.15">
      <c r="A2696" s="1" t="s">
        <v>908</v>
      </c>
      <c r="B2696" s="1" t="s">
        <v>763</v>
      </c>
      <c r="D2696" s="1" t="s">
        <v>764</v>
      </c>
      <c r="E2696" s="1" t="s">
        <v>765</v>
      </c>
      <c r="F2696" s="3">
        <v>0</v>
      </c>
      <c r="G2696" s="8" t="s">
        <v>3895</v>
      </c>
      <c r="H2696" s="8" t="s">
        <v>5159</v>
      </c>
      <c r="I2696" s="3">
        <v>23</v>
      </c>
      <c r="J2696" s="3" t="s">
        <v>6020</v>
      </c>
      <c r="K2696" s="17" t="str">
        <f>HYPERLINK("http://ictvonline.org/taxonomyHistory.asp?taxnode_id=20172923","ICTVonline=20172923")</f>
        <v>ICTVonline=20172923</v>
      </c>
      <c r="L2696" s="3">
        <v>2695</v>
      </c>
    </row>
    <row r="2697" spans="1:12" x14ac:dyDescent="0.15">
      <c r="A2697" s="1" t="s">
        <v>908</v>
      </c>
      <c r="B2697" s="1" t="s">
        <v>763</v>
      </c>
      <c r="D2697" s="1" t="s">
        <v>764</v>
      </c>
      <c r="E2697" s="1" t="s">
        <v>3899</v>
      </c>
      <c r="F2697" s="3">
        <v>1</v>
      </c>
      <c r="G2697" s="8" t="s">
        <v>3895</v>
      </c>
      <c r="H2697" s="8" t="s">
        <v>5162</v>
      </c>
      <c r="I2697" s="3">
        <v>30</v>
      </c>
      <c r="J2697" s="3" t="s">
        <v>6036</v>
      </c>
      <c r="K2697" s="17" t="str">
        <f>HYPERLINK("http://ictvonline.org/taxonomyHistory.asp?taxnode_id=20172924","ICTVonline=20172924")</f>
        <v>ICTVonline=20172924</v>
      </c>
      <c r="L2697" s="3">
        <v>2696</v>
      </c>
    </row>
    <row r="2698" spans="1:12" x14ac:dyDescent="0.15">
      <c r="A2698" s="1" t="s">
        <v>908</v>
      </c>
      <c r="B2698" s="1" t="s">
        <v>763</v>
      </c>
      <c r="D2698" s="1" t="s">
        <v>764</v>
      </c>
      <c r="E2698" s="1" t="s">
        <v>3900</v>
      </c>
      <c r="F2698" s="3">
        <v>0</v>
      </c>
      <c r="G2698" s="8" t="s">
        <v>3895</v>
      </c>
      <c r="H2698" s="8" t="s">
        <v>5162</v>
      </c>
      <c r="I2698" s="3">
        <v>30</v>
      </c>
      <c r="J2698" s="3" t="s">
        <v>6036</v>
      </c>
      <c r="K2698" s="17" t="str">
        <f>HYPERLINK("http://ictvonline.org/taxonomyHistory.asp?taxnode_id=20172925","ICTVonline=20172925")</f>
        <v>ICTVonline=20172925</v>
      </c>
      <c r="L2698" s="3">
        <v>2697</v>
      </c>
    </row>
    <row r="2699" spans="1:12" x14ac:dyDescent="0.15">
      <c r="A2699" s="1" t="s">
        <v>908</v>
      </c>
      <c r="B2699" s="1" t="s">
        <v>763</v>
      </c>
      <c r="D2699" s="1" t="s">
        <v>764</v>
      </c>
      <c r="E2699" s="1" t="s">
        <v>6043</v>
      </c>
      <c r="F2699" s="3">
        <v>0</v>
      </c>
      <c r="G2699" s="8" t="s">
        <v>3895</v>
      </c>
      <c r="H2699" s="8" t="s">
        <v>5159</v>
      </c>
      <c r="I2699" s="3">
        <v>32</v>
      </c>
      <c r="J2699" s="3" t="s">
        <v>6039</v>
      </c>
      <c r="K2699" s="17" t="str">
        <f>HYPERLINK("http://ictvonline.org/taxonomyHistory.asp?taxnode_id=20175768","ICTVonline=20175768")</f>
        <v>ICTVonline=20175768</v>
      </c>
      <c r="L2699" s="3">
        <v>2698</v>
      </c>
    </row>
    <row r="2700" spans="1:12" x14ac:dyDescent="0.15">
      <c r="A2700" s="1" t="s">
        <v>908</v>
      </c>
      <c r="B2700" s="1" t="s">
        <v>763</v>
      </c>
      <c r="D2700" s="1" t="s">
        <v>764</v>
      </c>
      <c r="E2700" s="1" t="s">
        <v>3901</v>
      </c>
      <c r="F2700" s="3">
        <v>0</v>
      </c>
      <c r="G2700" s="8" t="s">
        <v>3895</v>
      </c>
      <c r="H2700" s="8" t="s">
        <v>5159</v>
      </c>
      <c r="I2700" s="3">
        <v>30</v>
      </c>
      <c r="J2700" s="3" t="s">
        <v>6036</v>
      </c>
      <c r="K2700" s="17" t="str">
        <f>HYPERLINK("http://ictvonline.org/taxonomyHistory.asp?taxnode_id=20172926","ICTVonline=20172926")</f>
        <v>ICTVonline=20172926</v>
      </c>
      <c r="L2700" s="3">
        <v>2699</v>
      </c>
    </row>
    <row r="2701" spans="1:12" x14ac:dyDescent="0.15">
      <c r="A2701" s="1" t="s">
        <v>908</v>
      </c>
      <c r="B2701" s="1" t="s">
        <v>763</v>
      </c>
      <c r="D2701" s="1" t="s">
        <v>764</v>
      </c>
      <c r="E2701" s="1" t="s">
        <v>1976</v>
      </c>
      <c r="F2701" s="3">
        <v>0</v>
      </c>
      <c r="G2701" s="8" t="s">
        <v>3895</v>
      </c>
      <c r="H2701" s="8" t="s">
        <v>5159</v>
      </c>
      <c r="I2701" s="3">
        <v>24</v>
      </c>
      <c r="J2701" s="3" t="s">
        <v>6042</v>
      </c>
      <c r="K2701" s="17" t="str">
        <f>HYPERLINK("http://ictvonline.org/taxonomyHistory.asp?taxnode_id=20172927","ICTVonline=20172927")</f>
        <v>ICTVonline=20172927</v>
      </c>
      <c r="L2701" s="3">
        <v>2700</v>
      </c>
    </row>
    <row r="2702" spans="1:12" x14ac:dyDescent="0.15">
      <c r="A2702" s="1" t="s">
        <v>908</v>
      </c>
      <c r="B2702" s="1" t="s">
        <v>763</v>
      </c>
      <c r="D2702" s="1" t="s">
        <v>764</v>
      </c>
      <c r="E2702" s="1" t="s">
        <v>1856</v>
      </c>
      <c r="F2702" s="3">
        <v>0</v>
      </c>
      <c r="G2702" s="8" t="s">
        <v>3895</v>
      </c>
      <c r="H2702" s="8" t="s">
        <v>5159</v>
      </c>
      <c r="I2702" s="3">
        <v>25</v>
      </c>
      <c r="J2702" s="3" t="s">
        <v>6044</v>
      </c>
      <c r="K2702" s="17" t="str">
        <f>HYPERLINK("http://ictvonline.org/taxonomyHistory.asp?taxnode_id=20172928","ICTVonline=20172928")</f>
        <v>ICTVonline=20172928</v>
      </c>
      <c r="L2702" s="3">
        <v>2701</v>
      </c>
    </row>
    <row r="2703" spans="1:12" x14ac:dyDescent="0.15">
      <c r="A2703" s="1" t="s">
        <v>908</v>
      </c>
      <c r="B2703" s="1" t="s">
        <v>763</v>
      </c>
      <c r="D2703" s="1" t="s">
        <v>764</v>
      </c>
      <c r="E2703" s="1" t="s">
        <v>3902</v>
      </c>
      <c r="F2703" s="3">
        <v>0</v>
      </c>
      <c r="G2703" s="8" t="s">
        <v>3895</v>
      </c>
      <c r="H2703" s="8" t="s">
        <v>5159</v>
      </c>
      <c r="I2703" s="3">
        <v>30</v>
      </c>
      <c r="J2703" s="3" t="s">
        <v>6036</v>
      </c>
      <c r="K2703" s="17" t="str">
        <f>HYPERLINK("http://ictvonline.org/taxonomyHistory.asp?taxnode_id=20172929","ICTVonline=20172929")</f>
        <v>ICTVonline=20172929</v>
      </c>
      <c r="L2703" s="3">
        <v>2702</v>
      </c>
    </row>
    <row r="2704" spans="1:12" x14ac:dyDescent="0.15">
      <c r="A2704" s="1" t="s">
        <v>908</v>
      </c>
      <c r="B2704" s="1" t="s">
        <v>763</v>
      </c>
      <c r="D2704" s="1" t="s">
        <v>3903</v>
      </c>
      <c r="E2704" s="1" t="s">
        <v>5223</v>
      </c>
      <c r="F2704" s="3">
        <v>0</v>
      </c>
      <c r="G2704" s="8" t="s">
        <v>3895</v>
      </c>
      <c r="H2704" s="8" t="s">
        <v>5162</v>
      </c>
      <c r="I2704" s="3">
        <v>31</v>
      </c>
      <c r="J2704" s="3" t="s">
        <v>6045</v>
      </c>
      <c r="K2704" s="17" t="str">
        <f>HYPERLINK("http://ictvonline.org/taxonomyHistory.asp?taxnode_id=20172931","ICTVonline=20172931")</f>
        <v>ICTVonline=20172931</v>
      </c>
      <c r="L2704" s="3">
        <v>2703</v>
      </c>
    </row>
    <row r="2705" spans="1:12" x14ac:dyDescent="0.15">
      <c r="A2705" s="1" t="s">
        <v>908</v>
      </c>
      <c r="B2705" s="1" t="s">
        <v>763</v>
      </c>
      <c r="D2705" s="1" t="s">
        <v>3903</v>
      </c>
      <c r="E2705" s="1" t="s">
        <v>5224</v>
      </c>
      <c r="F2705" s="3">
        <v>0</v>
      </c>
      <c r="G2705" s="8" t="s">
        <v>3895</v>
      </c>
      <c r="H2705" s="8" t="s">
        <v>5162</v>
      </c>
      <c r="I2705" s="3">
        <v>31</v>
      </c>
      <c r="J2705" s="3" t="s">
        <v>6045</v>
      </c>
      <c r="K2705" s="17" t="str">
        <f>HYPERLINK("http://ictvonline.org/taxonomyHistory.asp?taxnode_id=20172932","ICTVonline=20172932")</f>
        <v>ICTVonline=20172932</v>
      </c>
      <c r="L2705" s="3">
        <v>2704</v>
      </c>
    </row>
    <row r="2706" spans="1:12" x14ac:dyDescent="0.15">
      <c r="A2706" s="1" t="s">
        <v>908</v>
      </c>
      <c r="B2706" s="1" t="s">
        <v>763</v>
      </c>
      <c r="D2706" s="1" t="s">
        <v>3903</v>
      </c>
      <c r="E2706" s="1" t="s">
        <v>5225</v>
      </c>
      <c r="F2706" s="3">
        <v>0</v>
      </c>
      <c r="G2706" s="8" t="s">
        <v>3895</v>
      </c>
      <c r="H2706" s="8" t="s">
        <v>5162</v>
      </c>
      <c r="I2706" s="3">
        <v>31</v>
      </c>
      <c r="J2706" s="3" t="s">
        <v>6045</v>
      </c>
      <c r="K2706" s="17" t="str">
        <f>HYPERLINK("http://ictvonline.org/taxonomyHistory.asp?taxnode_id=20172933","ICTVonline=20172933")</f>
        <v>ICTVonline=20172933</v>
      </c>
      <c r="L2706" s="3">
        <v>2705</v>
      </c>
    </row>
    <row r="2707" spans="1:12" x14ac:dyDescent="0.15">
      <c r="A2707" s="1" t="s">
        <v>908</v>
      </c>
      <c r="B2707" s="1" t="s">
        <v>763</v>
      </c>
      <c r="D2707" s="1" t="s">
        <v>3903</v>
      </c>
      <c r="E2707" s="1" t="s">
        <v>5226</v>
      </c>
      <c r="F2707" s="3">
        <v>0</v>
      </c>
      <c r="G2707" s="8" t="s">
        <v>3895</v>
      </c>
      <c r="H2707" s="8" t="s">
        <v>5162</v>
      </c>
      <c r="I2707" s="3">
        <v>31</v>
      </c>
      <c r="J2707" s="3" t="s">
        <v>6045</v>
      </c>
      <c r="K2707" s="17" t="str">
        <f>HYPERLINK("http://ictvonline.org/taxonomyHistory.asp?taxnode_id=20172934","ICTVonline=20172934")</f>
        <v>ICTVonline=20172934</v>
      </c>
      <c r="L2707" s="3">
        <v>2706</v>
      </c>
    </row>
    <row r="2708" spans="1:12" x14ac:dyDescent="0.15">
      <c r="A2708" s="1" t="s">
        <v>908</v>
      </c>
      <c r="B2708" s="1" t="s">
        <v>763</v>
      </c>
      <c r="D2708" s="1" t="s">
        <v>3903</v>
      </c>
      <c r="E2708" s="1" t="s">
        <v>5227</v>
      </c>
      <c r="F2708" s="3">
        <v>0</v>
      </c>
      <c r="G2708" s="8" t="s">
        <v>3895</v>
      </c>
      <c r="H2708" s="8" t="s">
        <v>5162</v>
      </c>
      <c r="I2708" s="3">
        <v>31</v>
      </c>
      <c r="J2708" s="3" t="s">
        <v>6045</v>
      </c>
      <c r="K2708" s="17" t="str">
        <f>HYPERLINK("http://ictvonline.org/taxonomyHistory.asp?taxnode_id=20172935","ICTVonline=20172935")</f>
        <v>ICTVonline=20172935</v>
      </c>
      <c r="L2708" s="3">
        <v>2707</v>
      </c>
    </row>
    <row r="2709" spans="1:12" x14ac:dyDescent="0.15">
      <c r="A2709" s="1" t="s">
        <v>908</v>
      </c>
      <c r="B2709" s="1" t="s">
        <v>763</v>
      </c>
      <c r="D2709" s="1" t="s">
        <v>3903</v>
      </c>
      <c r="E2709" s="1" t="s">
        <v>4881</v>
      </c>
      <c r="F2709" s="3">
        <v>0</v>
      </c>
      <c r="G2709" s="8" t="s">
        <v>3895</v>
      </c>
      <c r="H2709" s="8" t="s">
        <v>5159</v>
      </c>
      <c r="I2709" s="3">
        <v>31</v>
      </c>
      <c r="J2709" s="3" t="s">
        <v>6045</v>
      </c>
      <c r="K2709" s="17" t="str">
        <f>HYPERLINK("http://ictvonline.org/taxonomyHistory.asp?taxnode_id=20172936","ICTVonline=20172936")</f>
        <v>ICTVonline=20172936</v>
      </c>
      <c r="L2709" s="3">
        <v>2708</v>
      </c>
    </row>
    <row r="2710" spans="1:12" x14ac:dyDescent="0.15">
      <c r="A2710" s="1" t="s">
        <v>908</v>
      </c>
      <c r="B2710" s="1" t="s">
        <v>763</v>
      </c>
      <c r="D2710" s="1" t="s">
        <v>3903</v>
      </c>
      <c r="E2710" s="1" t="s">
        <v>4882</v>
      </c>
      <c r="F2710" s="3">
        <v>0</v>
      </c>
      <c r="G2710" s="8" t="s">
        <v>3895</v>
      </c>
      <c r="H2710" s="8" t="s">
        <v>5159</v>
      </c>
      <c r="I2710" s="3">
        <v>31</v>
      </c>
      <c r="J2710" s="3" t="s">
        <v>6045</v>
      </c>
      <c r="K2710" s="17" t="str">
        <f>HYPERLINK("http://ictvonline.org/taxonomyHistory.asp?taxnode_id=20172937","ICTVonline=20172937")</f>
        <v>ICTVonline=20172937</v>
      </c>
      <c r="L2710" s="3">
        <v>2709</v>
      </c>
    </row>
    <row r="2711" spans="1:12" x14ac:dyDescent="0.15">
      <c r="A2711" s="1" t="s">
        <v>908</v>
      </c>
      <c r="B2711" s="1" t="s">
        <v>763</v>
      </c>
      <c r="D2711" s="1" t="s">
        <v>3903</v>
      </c>
      <c r="E2711" s="1" t="s">
        <v>4883</v>
      </c>
      <c r="F2711" s="3">
        <v>0</v>
      </c>
      <c r="G2711" s="8" t="s">
        <v>3895</v>
      </c>
      <c r="H2711" s="8" t="s">
        <v>5159</v>
      </c>
      <c r="I2711" s="3">
        <v>31</v>
      </c>
      <c r="J2711" s="3" t="s">
        <v>6045</v>
      </c>
      <c r="K2711" s="17" t="str">
        <f>HYPERLINK("http://ictvonline.org/taxonomyHistory.asp?taxnode_id=20172938","ICTVonline=20172938")</f>
        <v>ICTVonline=20172938</v>
      </c>
      <c r="L2711" s="3">
        <v>2710</v>
      </c>
    </row>
    <row r="2712" spans="1:12" x14ac:dyDescent="0.15">
      <c r="A2712" s="1" t="s">
        <v>908</v>
      </c>
      <c r="B2712" s="1" t="s">
        <v>763</v>
      </c>
      <c r="D2712" s="1" t="s">
        <v>3903</v>
      </c>
      <c r="E2712" s="1" t="s">
        <v>4884</v>
      </c>
      <c r="F2712" s="3">
        <v>0</v>
      </c>
      <c r="G2712" s="8" t="s">
        <v>3895</v>
      </c>
      <c r="H2712" s="8" t="s">
        <v>5159</v>
      </c>
      <c r="I2712" s="3">
        <v>31</v>
      </c>
      <c r="J2712" s="3" t="s">
        <v>6045</v>
      </c>
      <c r="K2712" s="17" t="str">
        <f>HYPERLINK("http://ictvonline.org/taxonomyHistory.asp?taxnode_id=20172939","ICTVonline=20172939")</f>
        <v>ICTVonline=20172939</v>
      </c>
      <c r="L2712" s="3">
        <v>2711</v>
      </c>
    </row>
    <row r="2713" spans="1:12" x14ac:dyDescent="0.15">
      <c r="A2713" s="1" t="s">
        <v>908</v>
      </c>
      <c r="B2713" s="1" t="s">
        <v>763</v>
      </c>
      <c r="D2713" s="1" t="s">
        <v>3903</v>
      </c>
      <c r="E2713" s="1" t="s">
        <v>4885</v>
      </c>
      <c r="F2713" s="3">
        <v>0</v>
      </c>
      <c r="G2713" s="8" t="s">
        <v>3895</v>
      </c>
      <c r="H2713" s="8" t="s">
        <v>5159</v>
      </c>
      <c r="I2713" s="3">
        <v>31</v>
      </c>
      <c r="J2713" s="3" t="s">
        <v>6045</v>
      </c>
      <c r="K2713" s="17" t="str">
        <f>HYPERLINK("http://ictvonline.org/taxonomyHistory.asp?taxnode_id=20172940","ICTVonline=20172940")</f>
        <v>ICTVonline=20172940</v>
      </c>
      <c r="L2713" s="3">
        <v>2712</v>
      </c>
    </row>
    <row r="2714" spans="1:12" x14ac:dyDescent="0.15">
      <c r="A2714" s="1" t="s">
        <v>908</v>
      </c>
      <c r="B2714" s="1" t="s">
        <v>763</v>
      </c>
      <c r="D2714" s="1" t="s">
        <v>3903</v>
      </c>
      <c r="E2714" s="1" t="s">
        <v>4886</v>
      </c>
      <c r="F2714" s="3">
        <v>0</v>
      </c>
      <c r="G2714" s="8" t="s">
        <v>3895</v>
      </c>
      <c r="H2714" s="8" t="s">
        <v>5159</v>
      </c>
      <c r="I2714" s="3">
        <v>31</v>
      </c>
      <c r="J2714" s="3" t="s">
        <v>6045</v>
      </c>
      <c r="K2714" s="17" t="str">
        <f>HYPERLINK("http://ictvonline.org/taxonomyHistory.asp?taxnode_id=20172941","ICTVonline=20172941")</f>
        <v>ICTVonline=20172941</v>
      </c>
      <c r="L2714" s="3">
        <v>2713</v>
      </c>
    </row>
    <row r="2715" spans="1:12" x14ac:dyDescent="0.15">
      <c r="A2715" s="1" t="s">
        <v>908</v>
      </c>
      <c r="B2715" s="1" t="s">
        <v>763</v>
      </c>
      <c r="D2715" s="1" t="s">
        <v>3903</v>
      </c>
      <c r="E2715" s="1" t="s">
        <v>4887</v>
      </c>
      <c r="F2715" s="3">
        <v>0</v>
      </c>
      <c r="G2715" s="8" t="s">
        <v>3895</v>
      </c>
      <c r="H2715" s="8" t="s">
        <v>5159</v>
      </c>
      <c r="I2715" s="3">
        <v>31</v>
      </c>
      <c r="J2715" s="3" t="s">
        <v>6045</v>
      </c>
      <c r="K2715" s="17" t="str">
        <f>HYPERLINK("http://ictvonline.org/taxonomyHistory.asp?taxnode_id=20172942","ICTVonline=20172942")</f>
        <v>ICTVonline=20172942</v>
      </c>
      <c r="L2715" s="3">
        <v>2714</v>
      </c>
    </row>
    <row r="2716" spans="1:12" x14ac:dyDescent="0.15">
      <c r="A2716" s="1" t="s">
        <v>908</v>
      </c>
      <c r="B2716" s="1" t="s">
        <v>763</v>
      </c>
      <c r="D2716" s="1" t="s">
        <v>3903</v>
      </c>
      <c r="E2716" s="1" t="s">
        <v>4888</v>
      </c>
      <c r="F2716" s="3">
        <v>0</v>
      </c>
      <c r="G2716" s="8" t="s">
        <v>3895</v>
      </c>
      <c r="H2716" s="8" t="s">
        <v>5159</v>
      </c>
      <c r="I2716" s="3">
        <v>31</v>
      </c>
      <c r="J2716" s="3" t="s">
        <v>6045</v>
      </c>
      <c r="K2716" s="17" t="str">
        <f>HYPERLINK("http://ictvonline.org/taxonomyHistory.asp?taxnode_id=20172943","ICTVonline=20172943")</f>
        <v>ICTVonline=20172943</v>
      </c>
      <c r="L2716" s="3">
        <v>2715</v>
      </c>
    </row>
    <row r="2717" spans="1:12" x14ac:dyDescent="0.15">
      <c r="A2717" s="1" t="s">
        <v>908</v>
      </c>
      <c r="B2717" s="1" t="s">
        <v>763</v>
      </c>
      <c r="D2717" s="1" t="s">
        <v>3903</v>
      </c>
      <c r="E2717" s="1" t="s">
        <v>4889</v>
      </c>
      <c r="F2717" s="3">
        <v>0</v>
      </c>
      <c r="G2717" s="8" t="s">
        <v>3895</v>
      </c>
      <c r="H2717" s="8" t="s">
        <v>5159</v>
      </c>
      <c r="I2717" s="3">
        <v>31</v>
      </c>
      <c r="J2717" s="3" t="s">
        <v>6045</v>
      </c>
      <c r="K2717" s="17" t="str">
        <f>HYPERLINK("http://ictvonline.org/taxonomyHistory.asp?taxnode_id=20172944","ICTVonline=20172944")</f>
        <v>ICTVonline=20172944</v>
      </c>
      <c r="L2717" s="3">
        <v>2716</v>
      </c>
    </row>
    <row r="2718" spans="1:12" x14ac:dyDescent="0.15">
      <c r="A2718" s="1" t="s">
        <v>908</v>
      </c>
      <c r="B2718" s="1" t="s">
        <v>763</v>
      </c>
      <c r="D2718" s="1" t="s">
        <v>3903</v>
      </c>
      <c r="E2718" s="1" t="s">
        <v>4890</v>
      </c>
      <c r="F2718" s="3">
        <v>0</v>
      </c>
      <c r="G2718" s="8" t="s">
        <v>3895</v>
      </c>
      <c r="H2718" s="8" t="s">
        <v>5159</v>
      </c>
      <c r="I2718" s="3">
        <v>31</v>
      </c>
      <c r="J2718" s="3" t="s">
        <v>6045</v>
      </c>
      <c r="K2718" s="17" t="str">
        <f>HYPERLINK("http://ictvonline.org/taxonomyHistory.asp?taxnode_id=20172945","ICTVonline=20172945")</f>
        <v>ICTVonline=20172945</v>
      </c>
      <c r="L2718" s="3">
        <v>2717</v>
      </c>
    </row>
    <row r="2719" spans="1:12" x14ac:dyDescent="0.15">
      <c r="A2719" s="1" t="s">
        <v>908</v>
      </c>
      <c r="B2719" s="1" t="s">
        <v>763</v>
      </c>
      <c r="D2719" s="1" t="s">
        <v>3903</v>
      </c>
      <c r="E2719" s="1" t="s">
        <v>4891</v>
      </c>
      <c r="F2719" s="3">
        <v>0</v>
      </c>
      <c r="G2719" s="8" t="s">
        <v>3895</v>
      </c>
      <c r="H2719" s="8" t="s">
        <v>5159</v>
      </c>
      <c r="I2719" s="3">
        <v>31</v>
      </c>
      <c r="J2719" s="3" t="s">
        <v>6045</v>
      </c>
      <c r="K2719" s="17" t="str">
        <f>HYPERLINK("http://ictvonline.org/taxonomyHistory.asp?taxnode_id=20172946","ICTVonline=20172946")</f>
        <v>ICTVonline=20172946</v>
      </c>
      <c r="L2719" s="3">
        <v>2718</v>
      </c>
    </row>
    <row r="2720" spans="1:12" x14ac:dyDescent="0.15">
      <c r="A2720" s="1" t="s">
        <v>908</v>
      </c>
      <c r="B2720" s="1" t="s">
        <v>763</v>
      </c>
      <c r="D2720" s="1" t="s">
        <v>3903</v>
      </c>
      <c r="E2720" s="1" t="s">
        <v>5228</v>
      </c>
      <c r="F2720" s="3">
        <v>0</v>
      </c>
      <c r="G2720" s="8" t="s">
        <v>3895</v>
      </c>
      <c r="H2720" s="8" t="s">
        <v>5162</v>
      </c>
      <c r="I2720" s="3">
        <v>31</v>
      </c>
      <c r="J2720" s="3" t="s">
        <v>6045</v>
      </c>
      <c r="K2720" s="17" t="str">
        <f>HYPERLINK("http://ictvonline.org/taxonomyHistory.asp?taxnode_id=20172947","ICTVonline=20172947")</f>
        <v>ICTVonline=20172947</v>
      </c>
      <c r="L2720" s="3">
        <v>2719</v>
      </c>
    </row>
    <row r="2721" spans="1:12" x14ac:dyDescent="0.15">
      <c r="A2721" s="1" t="s">
        <v>908</v>
      </c>
      <c r="B2721" s="1" t="s">
        <v>763</v>
      </c>
      <c r="D2721" s="1" t="s">
        <v>3903</v>
      </c>
      <c r="E2721" s="1" t="s">
        <v>5229</v>
      </c>
      <c r="F2721" s="3">
        <v>0</v>
      </c>
      <c r="G2721" s="8" t="s">
        <v>3895</v>
      </c>
      <c r="H2721" s="8" t="s">
        <v>5162</v>
      </c>
      <c r="I2721" s="3">
        <v>31</v>
      </c>
      <c r="J2721" s="3" t="s">
        <v>6045</v>
      </c>
      <c r="K2721" s="17" t="str">
        <f>HYPERLINK("http://ictvonline.org/taxonomyHistory.asp?taxnode_id=20172948","ICTVonline=20172948")</f>
        <v>ICTVonline=20172948</v>
      </c>
      <c r="L2721" s="3">
        <v>2720</v>
      </c>
    </row>
    <row r="2722" spans="1:12" x14ac:dyDescent="0.15">
      <c r="A2722" s="1" t="s">
        <v>908</v>
      </c>
      <c r="B2722" s="1" t="s">
        <v>763</v>
      </c>
      <c r="D2722" s="1" t="s">
        <v>3903</v>
      </c>
      <c r="E2722" s="1" t="s">
        <v>5230</v>
      </c>
      <c r="F2722" s="3">
        <v>0</v>
      </c>
      <c r="G2722" s="8" t="s">
        <v>3895</v>
      </c>
      <c r="H2722" s="8" t="s">
        <v>5162</v>
      </c>
      <c r="I2722" s="3">
        <v>31</v>
      </c>
      <c r="J2722" s="3" t="s">
        <v>6045</v>
      </c>
      <c r="K2722" s="17" t="str">
        <f>HYPERLINK("http://ictvonline.org/taxonomyHistory.asp?taxnode_id=20172949","ICTVonline=20172949")</f>
        <v>ICTVonline=20172949</v>
      </c>
      <c r="L2722" s="3">
        <v>2721</v>
      </c>
    </row>
    <row r="2723" spans="1:12" x14ac:dyDescent="0.15">
      <c r="A2723" s="1" t="s">
        <v>908</v>
      </c>
      <c r="B2723" s="1" t="s">
        <v>763</v>
      </c>
      <c r="D2723" s="1" t="s">
        <v>3903</v>
      </c>
      <c r="E2723" s="1" t="s">
        <v>5231</v>
      </c>
      <c r="F2723" s="3">
        <v>0</v>
      </c>
      <c r="G2723" s="8" t="s">
        <v>3895</v>
      </c>
      <c r="H2723" s="8" t="s">
        <v>5162</v>
      </c>
      <c r="I2723" s="3">
        <v>31</v>
      </c>
      <c r="J2723" s="3" t="s">
        <v>6045</v>
      </c>
      <c r="K2723" s="17" t="str">
        <f>HYPERLINK("http://ictvonline.org/taxonomyHistory.asp?taxnode_id=20172950","ICTVonline=20172950")</f>
        <v>ICTVonline=20172950</v>
      </c>
      <c r="L2723" s="3">
        <v>2722</v>
      </c>
    </row>
    <row r="2724" spans="1:12" x14ac:dyDescent="0.15">
      <c r="A2724" s="1" t="s">
        <v>908</v>
      </c>
      <c r="B2724" s="1" t="s">
        <v>763</v>
      </c>
      <c r="D2724" s="1" t="s">
        <v>3903</v>
      </c>
      <c r="E2724" s="1" t="s">
        <v>5232</v>
      </c>
      <c r="F2724" s="3">
        <v>0</v>
      </c>
      <c r="G2724" s="8" t="s">
        <v>3895</v>
      </c>
      <c r="H2724" s="8" t="s">
        <v>5162</v>
      </c>
      <c r="I2724" s="3">
        <v>31</v>
      </c>
      <c r="J2724" s="3" t="s">
        <v>6045</v>
      </c>
      <c r="K2724" s="17" t="str">
        <f>HYPERLINK("http://ictvonline.org/taxonomyHistory.asp?taxnode_id=20172951","ICTVonline=20172951")</f>
        <v>ICTVonline=20172951</v>
      </c>
      <c r="L2724" s="3">
        <v>2723</v>
      </c>
    </row>
    <row r="2725" spans="1:12" x14ac:dyDescent="0.15">
      <c r="A2725" s="1" t="s">
        <v>908</v>
      </c>
      <c r="B2725" s="1" t="s">
        <v>763</v>
      </c>
      <c r="D2725" s="1" t="s">
        <v>3903</v>
      </c>
      <c r="E2725" s="1" t="s">
        <v>5233</v>
      </c>
      <c r="F2725" s="3">
        <v>0</v>
      </c>
      <c r="G2725" s="8" t="s">
        <v>3895</v>
      </c>
      <c r="H2725" s="8" t="s">
        <v>5162</v>
      </c>
      <c r="I2725" s="3">
        <v>31</v>
      </c>
      <c r="J2725" s="3" t="s">
        <v>6045</v>
      </c>
      <c r="K2725" s="17" t="str">
        <f>HYPERLINK("http://ictvonline.org/taxonomyHistory.asp?taxnode_id=20172952","ICTVonline=20172952")</f>
        <v>ICTVonline=20172952</v>
      </c>
      <c r="L2725" s="3">
        <v>2724</v>
      </c>
    </row>
    <row r="2726" spans="1:12" x14ac:dyDescent="0.15">
      <c r="A2726" s="1" t="s">
        <v>908</v>
      </c>
      <c r="B2726" s="1" t="s">
        <v>763</v>
      </c>
      <c r="D2726" s="1" t="s">
        <v>3903</v>
      </c>
      <c r="E2726" s="1" t="s">
        <v>5234</v>
      </c>
      <c r="F2726" s="3">
        <v>0</v>
      </c>
      <c r="G2726" s="8" t="s">
        <v>3895</v>
      </c>
      <c r="H2726" s="8" t="s">
        <v>5162</v>
      </c>
      <c r="I2726" s="3">
        <v>31</v>
      </c>
      <c r="J2726" s="3" t="s">
        <v>6045</v>
      </c>
      <c r="K2726" s="17" t="str">
        <f>HYPERLINK("http://ictvonline.org/taxonomyHistory.asp?taxnode_id=20172953","ICTVonline=20172953")</f>
        <v>ICTVonline=20172953</v>
      </c>
      <c r="L2726" s="3">
        <v>2725</v>
      </c>
    </row>
    <row r="2727" spans="1:12" x14ac:dyDescent="0.15">
      <c r="A2727" s="1" t="s">
        <v>908</v>
      </c>
      <c r="B2727" s="1" t="s">
        <v>763</v>
      </c>
      <c r="D2727" s="1" t="s">
        <v>3903</v>
      </c>
      <c r="E2727" s="1" t="s">
        <v>5235</v>
      </c>
      <c r="F2727" s="3">
        <v>0</v>
      </c>
      <c r="G2727" s="8" t="s">
        <v>3895</v>
      </c>
      <c r="H2727" s="8" t="s">
        <v>5162</v>
      </c>
      <c r="I2727" s="3">
        <v>31</v>
      </c>
      <c r="J2727" s="3" t="s">
        <v>6045</v>
      </c>
      <c r="K2727" s="17" t="str">
        <f>HYPERLINK("http://ictvonline.org/taxonomyHistory.asp?taxnode_id=20172954","ICTVonline=20172954")</f>
        <v>ICTVonline=20172954</v>
      </c>
      <c r="L2727" s="3">
        <v>2726</v>
      </c>
    </row>
    <row r="2728" spans="1:12" x14ac:dyDescent="0.15">
      <c r="A2728" s="1" t="s">
        <v>908</v>
      </c>
      <c r="B2728" s="1" t="s">
        <v>763</v>
      </c>
      <c r="D2728" s="1" t="s">
        <v>3903</v>
      </c>
      <c r="E2728" s="1" t="s">
        <v>5236</v>
      </c>
      <c r="F2728" s="3">
        <v>0</v>
      </c>
      <c r="G2728" s="8" t="s">
        <v>3895</v>
      </c>
      <c r="H2728" s="8" t="s">
        <v>5162</v>
      </c>
      <c r="I2728" s="3">
        <v>31</v>
      </c>
      <c r="J2728" s="3" t="s">
        <v>6045</v>
      </c>
      <c r="K2728" s="17" t="str">
        <f>HYPERLINK("http://ictvonline.org/taxonomyHistory.asp?taxnode_id=20172955","ICTVonline=20172955")</f>
        <v>ICTVonline=20172955</v>
      </c>
      <c r="L2728" s="3">
        <v>2727</v>
      </c>
    </row>
    <row r="2729" spans="1:12" x14ac:dyDescent="0.15">
      <c r="A2729" s="1" t="s">
        <v>908</v>
      </c>
      <c r="B2729" s="1" t="s">
        <v>763</v>
      </c>
      <c r="D2729" s="1" t="s">
        <v>3903</v>
      </c>
      <c r="E2729" s="1" t="s">
        <v>5237</v>
      </c>
      <c r="F2729" s="3">
        <v>0</v>
      </c>
      <c r="G2729" s="8" t="s">
        <v>3895</v>
      </c>
      <c r="H2729" s="8" t="s">
        <v>5162</v>
      </c>
      <c r="I2729" s="3">
        <v>31</v>
      </c>
      <c r="J2729" s="3" t="s">
        <v>6045</v>
      </c>
      <c r="K2729" s="17" t="str">
        <f>HYPERLINK("http://ictvonline.org/taxonomyHistory.asp?taxnode_id=20172956","ICTVonline=20172956")</f>
        <v>ICTVonline=20172956</v>
      </c>
      <c r="L2729" s="3">
        <v>2728</v>
      </c>
    </row>
    <row r="2730" spans="1:12" x14ac:dyDescent="0.15">
      <c r="A2730" s="1" t="s">
        <v>908</v>
      </c>
      <c r="B2730" s="1" t="s">
        <v>763</v>
      </c>
      <c r="D2730" s="1" t="s">
        <v>3903</v>
      </c>
      <c r="E2730" s="1" t="s">
        <v>5238</v>
      </c>
      <c r="F2730" s="3">
        <v>0</v>
      </c>
      <c r="G2730" s="8" t="s">
        <v>3895</v>
      </c>
      <c r="H2730" s="8" t="s">
        <v>5162</v>
      </c>
      <c r="I2730" s="3">
        <v>31</v>
      </c>
      <c r="J2730" s="3" t="s">
        <v>6045</v>
      </c>
      <c r="K2730" s="17" t="str">
        <f>HYPERLINK("http://ictvonline.org/taxonomyHistory.asp?taxnode_id=20172957","ICTVonline=20172957")</f>
        <v>ICTVonline=20172957</v>
      </c>
      <c r="L2730" s="3">
        <v>2729</v>
      </c>
    </row>
    <row r="2731" spans="1:12" x14ac:dyDescent="0.15">
      <c r="A2731" s="1" t="s">
        <v>908</v>
      </c>
      <c r="B2731" s="1" t="s">
        <v>763</v>
      </c>
      <c r="D2731" s="1" t="s">
        <v>3903</v>
      </c>
      <c r="E2731" s="1" t="s">
        <v>5239</v>
      </c>
      <c r="F2731" s="3">
        <v>0</v>
      </c>
      <c r="G2731" s="8" t="s">
        <v>3895</v>
      </c>
      <c r="H2731" s="8" t="s">
        <v>5162</v>
      </c>
      <c r="I2731" s="3">
        <v>31</v>
      </c>
      <c r="J2731" s="3" t="s">
        <v>6045</v>
      </c>
      <c r="K2731" s="17" t="str">
        <f>HYPERLINK("http://ictvonline.org/taxonomyHistory.asp?taxnode_id=20172958","ICTVonline=20172958")</f>
        <v>ICTVonline=20172958</v>
      </c>
      <c r="L2731" s="3">
        <v>2730</v>
      </c>
    </row>
    <row r="2732" spans="1:12" x14ac:dyDescent="0.15">
      <c r="A2732" s="1" t="s">
        <v>908</v>
      </c>
      <c r="B2732" s="1" t="s">
        <v>763</v>
      </c>
      <c r="D2732" s="1" t="s">
        <v>3903</v>
      </c>
      <c r="E2732" s="1" t="s">
        <v>4892</v>
      </c>
      <c r="F2732" s="3">
        <v>0</v>
      </c>
      <c r="G2732" s="8" t="s">
        <v>3895</v>
      </c>
      <c r="H2732" s="8" t="s">
        <v>5159</v>
      </c>
      <c r="I2732" s="3">
        <v>31</v>
      </c>
      <c r="J2732" s="3" t="s">
        <v>6045</v>
      </c>
      <c r="K2732" s="17" t="str">
        <f>HYPERLINK("http://ictvonline.org/taxonomyHistory.asp?taxnode_id=20172959","ICTVonline=20172959")</f>
        <v>ICTVonline=20172959</v>
      </c>
      <c r="L2732" s="3">
        <v>2731</v>
      </c>
    </row>
    <row r="2733" spans="1:12" x14ac:dyDescent="0.15">
      <c r="A2733" s="1" t="s">
        <v>908</v>
      </c>
      <c r="B2733" s="1" t="s">
        <v>763</v>
      </c>
      <c r="D2733" s="1" t="s">
        <v>3903</v>
      </c>
      <c r="E2733" s="1" t="s">
        <v>5240</v>
      </c>
      <c r="F2733" s="3">
        <v>0</v>
      </c>
      <c r="G2733" s="8" t="s">
        <v>3895</v>
      </c>
      <c r="H2733" s="8" t="s">
        <v>5162</v>
      </c>
      <c r="I2733" s="3">
        <v>31</v>
      </c>
      <c r="J2733" s="3" t="s">
        <v>6045</v>
      </c>
      <c r="K2733" s="17" t="str">
        <f>HYPERLINK("http://ictvonline.org/taxonomyHistory.asp?taxnode_id=20172960","ICTVonline=20172960")</f>
        <v>ICTVonline=20172960</v>
      </c>
      <c r="L2733" s="3">
        <v>2732</v>
      </c>
    </row>
    <row r="2734" spans="1:12" x14ac:dyDescent="0.15">
      <c r="A2734" s="1" t="s">
        <v>908</v>
      </c>
      <c r="B2734" s="1" t="s">
        <v>763</v>
      </c>
      <c r="D2734" s="1" t="s">
        <v>3903</v>
      </c>
      <c r="E2734" s="1" t="s">
        <v>4893</v>
      </c>
      <c r="F2734" s="3">
        <v>0</v>
      </c>
      <c r="G2734" s="8" t="s">
        <v>3895</v>
      </c>
      <c r="H2734" s="8" t="s">
        <v>5159</v>
      </c>
      <c r="I2734" s="3">
        <v>31</v>
      </c>
      <c r="J2734" s="3" t="s">
        <v>6045</v>
      </c>
      <c r="K2734" s="17" t="str">
        <f>HYPERLINK("http://ictvonline.org/taxonomyHistory.asp?taxnode_id=20172961","ICTVonline=20172961")</f>
        <v>ICTVonline=20172961</v>
      </c>
      <c r="L2734" s="3">
        <v>2733</v>
      </c>
    </row>
    <row r="2735" spans="1:12" x14ac:dyDescent="0.15">
      <c r="A2735" s="1" t="s">
        <v>908</v>
      </c>
      <c r="B2735" s="1" t="s">
        <v>763</v>
      </c>
      <c r="D2735" s="1" t="s">
        <v>3903</v>
      </c>
      <c r="E2735" s="1" t="s">
        <v>5241</v>
      </c>
      <c r="F2735" s="3">
        <v>0</v>
      </c>
      <c r="G2735" s="8" t="s">
        <v>3895</v>
      </c>
      <c r="H2735" s="8" t="s">
        <v>5162</v>
      </c>
      <c r="I2735" s="3">
        <v>31</v>
      </c>
      <c r="J2735" s="3" t="s">
        <v>6045</v>
      </c>
      <c r="K2735" s="17" t="str">
        <f>HYPERLINK("http://ictvonline.org/taxonomyHistory.asp?taxnode_id=20172962","ICTVonline=20172962")</f>
        <v>ICTVonline=20172962</v>
      </c>
      <c r="L2735" s="3">
        <v>2734</v>
      </c>
    </row>
    <row r="2736" spans="1:12" x14ac:dyDescent="0.15">
      <c r="A2736" s="1" t="s">
        <v>908</v>
      </c>
      <c r="B2736" s="1" t="s">
        <v>763</v>
      </c>
      <c r="D2736" s="1" t="s">
        <v>3903</v>
      </c>
      <c r="E2736" s="1" t="s">
        <v>5242</v>
      </c>
      <c r="F2736" s="3">
        <v>0</v>
      </c>
      <c r="G2736" s="8" t="s">
        <v>3895</v>
      </c>
      <c r="H2736" s="8" t="s">
        <v>5162</v>
      </c>
      <c r="I2736" s="3">
        <v>31</v>
      </c>
      <c r="J2736" s="3" t="s">
        <v>6045</v>
      </c>
      <c r="K2736" s="17" t="str">
        <f>HYPERLINK("http://ictvonline.org/taxonomyHistory.asp?taxnode_id=20172963","ICTVonline=20172963")</f>
        <v>ICTVonline=20172963</v>
      </c>
      <c r="L2736" s="3">
        <v>2735</v>
      </c>
    </row>
    <row r="2737" spans="1:12" x14ac:dyDescent="0.15">
      <c r="A2737" s="1" t="s">
        <v>908</v>
      </c>
      <c r="B2737" s="1" t="s">
        <v>763</v>
      </c>
      <c r="D2737" s="1" t="s">
        <v>3903</v>
      </c>
      <c r="E2737" s="1" t="s">
        <v>5243</v>
      </c>
      <c r="F2737" s="3">
        <v>0</v>
      </c>
      <c r="G2737" s="8" t="s">
        <v>3895</v>
      </c>
      <c r="H2737" s="8" t="s">
        <v>5162</v>
      </c>
      <c r="I2737" s="3">
        <v>31</v>
      </c>
      <c r="J2737" s="3" t="s">
        <v>6045</v>
      </c>
      <c r="K2737" s="17" t="str">
        <f>HYPERLINK("http://ictvonline.org/taxonomyHistory.asp?taxnode_id=20172964","ICTVonline=20172964")</f>
        <v>ICTVonline=20172964</v>
      </c>
      <c r="L2737" s="3">
        <v>2736</v>
      </c>
    </row>
    <row r="2738" spans="1:12" x14ac:dyDescent="0.15">
      <c r="A2738" s="1" t="s">
        <v>908</v>
      </c>
      <c r="B2738" s="1" t="s">
        <v>763</v>
      </c>
      <c r="D2738" s="1" t="s">
        <v>3903</v>
      </c>
      <c r="E2738" s="1" t="s">
        <v>5244</v>
      </c>
      <c r="F2738" s="3">
        <v>0</v>
      </c>
      <c r="G2738" s="8" t="s">
        <v>3895</v>
      </c>
      <c r="H2738" s="8" t="s">
        <v>5162</v>
      </c>
      <c r="I2738" s="3">
        <v>31</v>
      </c>
      <c r="J2738" s="3" t="s">
        <v>6045</v>
      </c>
      <c r="K2738" s="17" t="str">
        <f>HYPERLINK("http://ictvonline.org/taxonomyHistory.asp?taxnode_id=20172965","ICTVonline=20172965")</f>
        <v>ICTVonline=20172965</v>
      </c>
      <c r="L2738" s="3">
        <v>2737</v>
      </c>
    </row>
    <row r="2739" spans="1:12" x14ac:dyDescent="0.15">
      <c r="A2739" s="1" t="s">
        <v>908</v>
      </c>
      <c r="B2739" s="1" t="s">
        <v>763</v>
      </c>
      <c r="D2739" s="1" t="s">
        <v>3903</v>
      </c>
      <c r="E2739" s="1" t="s">
        <v>5245</v>
      </c>
      <c r="F2739" s="3">
        <v>0</v>
      </c>
      <c r="G2739" s="8" t="s">
        <v>3895</v>
      </c>
      <c r="H2739" s="8" t="s">
        <v>5162</v>
      </c>
      <c r="I2739" s="3">
        <v>31</v>
      </c>
      <c r="J2739" s="3" t="s">
        <v>6045</v>
      </c>
      <c r="K2739" s="17" t="str">
        <f>HYPERLINK("http://ictvonline.org/taxonomyHistory.asp?taxnode_id=20172966","ICTVonline=20172966")</f>
        <v>ICTVonline=20172966</v>
      </c>
      <c r="L2739" s="3">
        <v>2738</v>
      </c>
    </row>
    <row r="2740" spans="1:12" x14ac:dyDescent="0.15">
      <c r="A2740" s="1" t="s">
        <v>908</v>
      </c>
      <c r="B2740" s="1" t="s">
        <v>763</v>
      </c>
      <c r="D2740" s="1" t="s">
        <v>3903</v>
      </c>
      <c r="E2740" s="1" t="s">
        <v>5246</v>
      </c>
      <c r="F2740" s="3">
        <v>0</v>
      </c>
      <c r="G2740" s="8" t="s">
        <v>3895</v>
      </c>
      <c r="H2740" s="8" t="s">
        <v>5162</v>
      </c>
      <c r="I2740" s="3">
        <v>31</v>
      </c>
      <c r="J2740" s="3" t="s">
        <v>6045</v>
      </c>
      <c r="K2740" s="17" t="str">
        <f>HYPERLINK("http://ictvonline.org/taxonomyHistory.asp?taxnode_id=20172967","ICTVonline=20172967")</f>
        <v>ICTVonline=20172967</v>
      </c>
      <c r="L2740" s="3">
        <v>2739</v>
      </c>
    </row>
    <row r="2741" spans="1:12" x14ac:dyDescent="0.15">
      <c r="A2741" s="1" t="s">
        <v>908</v>
      </c>
      <c r="B2741" s="1" t="s">
        <v>763</v>
      </c>
      <c r="D2741" s="1" t="s">
        <v>3903</v>
      </c>
      <c r="E2741" s="1" t="s">
        <v>5247</v>
      </c>
      <c r="F2741" s="3">
        <v>0</v>
      </c>
      <c r="G2741" s="8" t="s">
        <v>3895</v>
      </c>
      <c r="H2741" s="8" t="s">
        <v>5162</v>
      </c>
      <c r="I2741" s="3">
        <v>31</v>
      </c>
      <c r="J2741" s="3" t="s">
        <v>6045</v>
      </c>
      <c r="K2741" s="17" t="str">
        <f>HYPERLINK("http://ictvonline.org/taxonomyHistory.asp?taxnode_id=20172968","ICTVonline=20172968")</f>
        <v>ICTVonline=20172968</v>
      </c>
      <c r="L2741" s="3">
        <v>2740</v>
      </c>
    </row>
    <row r="2742" spans="1:12" x14ac:dyDescent="0.15">
      <c r="A2742" s="1" t="s">
        <v>908</v>
      </c>
      <c r="B2742" s="1" t="s">
        <v>763</v>
      </c>
      <c r="D2742" s="1" t="s">
        <v>3903</v>
      </c>
      <c r="E2742" s="1" t="s">
        <v>5248</v>
      </c>
      <c r="F2742" s="3">
        <v>1</v>
      </c>
      <c r="G2742" s="8" t="s">
        <v>3895</v>
      </c>
      <c r="H2742" s="8" t="s">
        <v>5162</v>
      </c>
      <c r="I2742" s="3">
        <v>31</v>
      </c>
      <c r="J2742" s="3" t="s">
        <v>6045</v>
      </c>
      <c r="K2742" s="17" t="str">
        <f>HYPERLINK("http://ictvonline.org/taxonomyHistory.asp?taxnode_id=20172969","ICTVonline=20172969")</f>
        <v>ICTVonline=20172969</v>
      </c>
      <c r="L2742" s="3">
        <v>2741</v>
      </c>
    </row>
    <row r="2743" spans="1:12" x14ac:dyDescent="0.15">
      <c r="A2743" s="1" t="s">
        <v>908</v>
      </c>
      <c r="B2743" s="1" t="s">
        <v>763</v>
      </c>
      <c r="D2743" s="1" t="s">
        <v>3903</v>
      </c>
      <c r="E2743" s="1" t="s">
        <v>5249</v>
      </c>
      <c r="F2743" s="3">
        <v>0</v>
      </c>
      <c r="G2743" s="8" t="s">
        <v>3895</v>
      </c>
      <c r="H2743" s="8" t="s">
        <v>5162</v>
      </c>
      <c r="I2743" s="3">
        <v>31</v>
      </c>
      <c r="J2743" s="3" t="s">
        <v>6045</v>
      </c>
      <c r="K2743" s="17" t="str">
        <f>HYPERLINK("http://ictvonline.org/taxonomyHistory.asp?taxnode_id=20172970","ICTVonline=20172970")</f>
        <v>ICTVonline=20172970</v>
      </c>
      <c r="L2743" s="3">
        <v>2742</v>
      </c>
    </row>
    <row r="2744" spans="1:12" x14ac:dyDescent="0.15">
      <c r="A2744" s="1" t="s">
        <v>908</v>
      </c>
      <c r="B2744" s="1" t="s">
        <v>763</v>
      </c>
      <c r="D2744" s="1" t="s">
        <v>3903</v>
      </c>
      <c r="E2744" s="1" t="s">
        <v>5250</v>
      </c>
      <c r="F2744" s="3">
        <v>0</v>
      </c>
      <c r="G2744" s="8" t="s">
        <v>3895</v>
      </c>
      <c r="H2744" s="8" t="s">
        <v>5162</v>
      </c>
      <c r="I2744" s="3">
        <v>31</v>
      </c>
      <c r="J2744" s="3" t="s">
        <v>6045</v>
      </c>
      <c r="K2744" s="17" t="str">
        <f>HYPERLINK("http://ictvonline.org/taxonomyHistory.asp?taxnode_id=20172971","ICTVonline=20172971")</f>
        <v>ICTVonline=20172971</v>
      </c>
      <c r="L2744" s="3">
        <v>2743</v>
      </c>
    </row>
    <row r="2745" spans="1:12" x14ac:dyDescent="0.15">
      <c r="A2745" s="1" t="s">
        <v>908</v>
      </c>
      <c r="B2745" s="1" t="s">
        <v>763</v>
      </c>
      <c r="D2745" s="1" t="s">
        <v>3903</v>
      </c>
      <c r="E2745" s="1" t="s">
        <v>4894</v>
      </c>
      <c r="F2745" s="3">
        <v>0</v>
      </c>
      <c r="G2745" s="8" t="s">
        <v>3895</v>
      </c>
      <c r="H2745" s="8" t="s">
        <v>5159</v>
      </c>
      <c r="I2745" s="3">
        <v>31</v>
      </c>
      <c r="J2745" s="3" t="s">
        <v>6045</v>
      </c>
      <c r="K2745" s="17" t="str">
        <f>HYPERLINK("http://ictvonline.org/taxonomyHistory.asp?taxnode_id=20172972","ICTVonline=20172972")</f>
        <v>ICTVonline=20172972</v>
      </c>
      <c r="L2745" s="3">
        <v>2744</v>
      </c>
    </row>
    <row r="2746" spans="1:12" x14ac:dyDescent="0.15">
      <c r="A2746" s="1" t="s">
        <v>908</v>
      </c>
      <c r="B2746" s="1" t="s">
        <v>763</v>
      </c>
      <c r="D2746" s="1" t="s">
        <v>3903</v>
      </c>
      <c r="E2746" s="1" t="s">
        <v>6046</v>
      </c>
      <c r="F2746" s="3">
        <v>0</v>
      </c>
      <c r="G2746" s="8" t="s">
        <v>3895</v>
      </c>
      <c r="H2746" s="8" t="s">
        <v>5159</v>
      </c>
      <c r="I2746" s="3">
        <v>32</v>
      </c>
      <c r="J2746" s="3" t="s">
        <v>6039</v>
      </c>
      <c r="K2746" s="17" t="str">
        <f>HYPERLINK("http://ictvonline.org/taxonomyHistory.asp?taxnode_id=20175769","ICTVonline=20175769")</f>
        <v>ICTVonline=20175769</v>
      </c>
      <c r="L2746" s="3">
        <v>2745</v>
      </c>
    </row>
    <row r="2747" spans="1:12" x14ac:dyDescent="0.15">
      <c r="A2747" s="1" t="s">
        <v>908</v>
      </c>
      <c r="B2747" s="1" t="s">
        <v>763</v>
      </c>
      <c r="D2747" s="1" t="s">
        <v>3903</v>
      </c>
      <c r="E2747" s="1" t="s">
        <v>6047</v>
      </c>
      <c r="F2747" s="3">
        <v>0</v>
      </c>
      <c r="G2747" s="8" t="s">
        <v>3895</v>
      </c>
      <c r="H2747" s="8" t="s">
        <v>5159</v>
      </c>
      <c r="I2747" s="3">
        <v>32</v>
      </c>
      <c r="J2747" s="3" t="s">
        <v>6039</v>
      </c>
      <c r="K2747" s="17" t="str">
        <f>HYPERLINK("http://ictvonline.org/taxonomyHistory.asp?taxnode_id=20175770","ICTVonline=20175770")</f>
        <v>ICTVonline=20175770</v>
      </c>
      <c r="L2747" s="3">
        <v>2746</v>
      </c>
    </row>
    <row r="2748" spans="1:12" x14ac:dyDescent="0.15">
      <c r="A2748" s="1" t="s">
        <v>908</v>
      </c>
      <c r="B2748" s="1" t="s">
        <v>763</v>
      </c>
      <c r="D2748" s="1" t="s">
        <v>3903</v>
      </c>
      <c r="E2748" s="1" t="s">
        <v>4895</v>
      </c>
      <c r="F2748" s="3">
        <v>0</v>
      </c>
      <c r="G2748" s="8" t="s">
        <v>3895</v>
      </c>
      <c r="H2748" s="8" t="s">
        <v>5159</v>
      </c>
      <c r="I2748" s="3">
        <v>31</v>
      </c>
      <c r="J2748" s="3" t="s">
        <v>6045</v>
      </c>
      <c r="K2748" s="17" t="str">
        <f>HYPERLINK("http://ictvonline.org/taxonomyHistory.asp?taxnode_id=20172973","ICTVonline=20172973")</f>
        <v>ICTVonline=20172973</v>
      </c>
      <c r="L2748" s="3">
        <v>2747</v>
      </c>
    </row>
    <row r="2749" spans="1:12" x14ac:dyDescent="0.15">
      <c r="A2749" s="1" t="s">
        <v>908</v>
      </c>
      <c r="B2749" s="1" t="s">
        <v>90</v>
      </c>
      <c r="D2749" s="1" t="s">
        <v>91</v>
      </c>
      <c r="E2749" s="1" t="s">
        <v>92</v>
      </c>
      <c r="F2749" s="3">
        <v>1</v>
      </c>
      <c r="G2749" s="8" t="s">
        <v>2771</v>
      </c>
      <c r="H2749" s="8" t="s">
        <v>5164</v>
      </c>
      <c r="I2749" s="3">
        <v>26</v>
      </c>
      <c r="J2749" s="3" t="s">
        <v>6048</v>
      </c>
      <c r="K2749" s="17" t="str">
        <f>HYPERLINK("http://ictvonline.org/taxonomyHistory.asp?taxnode_id=20172977","ICTVonline=20172977")</f>
        <v>ICTVonline=20172977</v>
      </c>
      <c r="L2749" s="3">
        <v>2748</v>
      </c>
    </row>
    <row r="2750" spans="1:12" x14ac:dyDescent="0.15">
      <c r="A2750" s="1" t="s">
        <v>908</v>
      </c>
      <c r="B2750" s="1" t="s">
        <v>1979</v>
      </c>
      <c r="D2750" s="1" t="s">
        <v>1980</v>
      </c>
      <c r="E2750" s="1" t="s">
        <v>3904</v>
      </c>
      <c r="F2750" s="3">
        <v>0</v>
      </c>
      <c r="G2750" s="8" t="s">
        <v>2773</v>
      </c>
      <c r="H2750" s="8" t="s">
        <v>5159</v>
      </c>
      <c r="I2750" s="3">
        <v>30</v>
      </c>
      <c r="J2750" s="3" t="s">
        <v>6049</v>
      </c>
      <c r="K2750" s="17" t="str">
        <f>HYPERLINK("http://ictvonline.org/taxonomyHistory.asp?taxnode_id=20172981","ICTVonline=20172981")</f>
        <v>ICTVonline=20172981</v>
      </c>
      <c r="L2750" s="3">
        <v>2749</v>
      </c>
    </row>
    <row r="2751" spans="1:12" x14ac:dyDescent="0.15">
      <c r="A2751" s="1" t="s">
        <v>908</v>
      </c>
      <c r="B2751" s="1" t="s">
        <v>1979</v>
      </c>
      <c r="D2751" s="1" t="s">
        <v>1980</v>
      </c>
      <c r="E2751" s="1" t="s">
        <v>2075</v>
      </c>
      <c r="F2751" s="3">
        <v>0</v>
      </c>
      <c r="G2751" s="8" t="s">
        <v>2773</v>
      </c>
      <c r="H2751" s="8" t="s">
        <v>5159</v>
      </c>
      <c r="I2751" s="3">
        <v>20</v>
      </c>
      <c r="J2751" s="3" t="s">
        <v>5628</v>
      </c>
      <c r="K2751" s="17" t="str">
        <f>HYPERLINK("http://ictvonline.org/taxonomyHistory.asp?taxnode_id=20172982","ICTVonline=20172982")</f>
        <v>ICTVonline=20172982</v>
      </c>
      <c r="L2751" s="3">
        <v>2750</v>
      </c>
    </row>
    <row r="2752" spans="1:12" x14ac:dyDescent="0.15">
      <c r="A2752" s="1" t="s">
        <v>908</v>
      </c>
      <c r="B2752" s="1" t="s">
        <v>1979</v>
      </c>
      <c r="D2752" s="1" t="s">
        <v>1980</v>
      </c>
      <c r="E2752" s="1" t="s">
        <v>2076</v>
      </c>
      <c r="F2752" s="3">
        <v>1</v>
      </c>
      <c r="G2752" s="8" t="s">
        <v>2773</v>
      </c>
      <c r="H2752" s="8" t="s">
        <v>5165</v>
      </c>
      <c r="I2752" s="3">
        <v>20</v>
      </c>
      <c r="J2752" s="3" t="s">
        <v>5628</v>
      </c>
      <c r="K2752" s="17" t="str">
        <f>HYPERLINK("http://ictvonline.org/taxonomyHistory.asp?taxnode_id=20172983","ICTVonline=20172983")</f>
        <v>ICTVonline=20172983</v>
      </c>
      <c r="L2752" s="3">
        <v>2751</v>
      </c>
    </row>
    <row r="2753" spans="1:12" x14ac:dyDescent="0.15">
      <c r="A2753" s="1" t="s">
        <v>908</v>
      </c>
      <c r="B2753" s="1" t="s">
        <v>1979</v>
      </c>
      <c r="D2753" s="1" t="s">
        <v>1980</v>
      </c>
      <c r="E2753" s="1" t="s">
        <v>2247</v>
      </c>
      <c r="F2753" s="3">
        <v>0</v>
      </c>
      <c r="G2753" s="8" t="s">
        <v>2773</v>
      </c>
      <c r="H2753" s="8" t="s">
        <v>5159</v>
      </c>
      <c r="I2753" s="3">
        <v>27</v>
      </c>
      <c r="J2753" s="3" t="s">
        <v>6050</v>
      </c>
      <c r="K2753" s="17" t="str">
        <f>HYPERLINK("http://ictvonline.org/taxonomyHistory.asp?taxnode_id=20172984","ICTVonline=20172984")</f>
        <v>ICTVonline=20172984</v>
      </c>
      <c r="L2753" s="3">
        <v>2752</v>
      </c>
    </row>
    <row r="2754" spans="1:12" x14ac:dyDescent="0.15">
      <c r="A2754" s="1" t="s">
        <v>908</v>
      </c>
      <c r="B2754" s="1" t="s">
        <v>1979</v>
      </c>
      <c r="D2754" s="1" t="s">
        <v>1980</v>
      </c>
      <c r="E2754" s="1" t="s">
        <v>6051</v>
      </c>
      <c r="F2754" s="3">
        <v>0</v>
      </c>
      <c r="G2754" s="8" t="s">
        <v>2773</v>
      </c>
      <c r="H2754" s="8" t="s">
        <v>5159</v>
      </c>
      <c r="I2754" s="3">
        <v>32</v>
      </c>
      <c r="J2754" s="3" t="s">
        <v>6052</v>
      </c>
      <c r="K2754" s="17" t="str">
        <f>HYPERLINK("http://ictvonline.org/taxonomyHistory.asp?taxnode_id=20175771","ICTVonline=20175771")</f>
        <v>ICTVonline=20175771</v>
      </c>
      <c r="L2754" s="3">
        <v>2753</v>
      </c>
    </row>
    <row r="2755" spans="1:12" x14ac:dyDescent="0.15">
      <c r="A2755" s="1" t="s">
        <v>908</v>
      </c>
      <c r="B2755" s="1" t="s">
        <v>1979</v>
      </c>
      <c r="D2755" s="1" t="s">
        <v>1980</v>
      </c>
      <c r="E2755" s="1" t="s">
        <v>2077</v>
      </c>
      <c r="F2755" s="3">
        <v>0</v>
      </c>
      <c r="G2755" s="8" t="s">
        <v>2773</v>
      </c>
      <c r="H2755" s="8" t="s">
        <v>5170</v>
      </c>
      <c r="I2755" s="3">
        <v>20</v>
      </c>
      <c r="J2755" s="3" t="s">
        <v>5628</v>
      </c>
      <c r="K2755" s="17" t="str">
        <f>HYPERLINK("http://ictvonline.org/taxonomyHistory.asp?taxnode_id=20172985","ICTVonline=20172985")</f>
        <v>ICTVonline=20172985</v>
      </c>
      <c r="L2755" s="3">
        <v>2754</v>
      </c>
    </row>
    <row r="2756" spans="1:12" x14ac:dyDescent="0.15">
      <c r="A2756" s="1" t="s">
        <v>908</v>
      </c>
      <c r="B2756" s="1" t="s">
        <v>1979</v>
      </c>
      <c r="D2756" s="1" t="s">
        <v>1980</v>
      </c>
      <c r="E2756" s="1" t="s">
        <v>2078</v>
      </c>
      <c r="F2756" s="3">
        <v>0</v>
      </c>
      <c r="G2756" s="8" t="s">
        <v>2773</v>
      </c>
      <c r="H2756" s="8" t="s">
        <v>5159</v>
      </c>
      <c r="I2756" s="3">
        <v>20</v>
      </c>
      <c r="J2756" s="3" t="s">
        <v>5628</v>
      </c>
      <c r="K2756" s="17" t="str">
        <f>HYPERLINK("http://ictvonline.org/taxonomyHistory.asp?taxnode_id=20172986","ICTVonline=20172986")</f>
        <v>ICTVonline=20172986</v>
      </c>
      <c r="L2756" s="3">
        <v>2755</v>
      </c>
    </row>
    <row r="2757" spans="1:12" x14ac:dyDescent="0.15">
      <c r="A2757" s="1" t="s">
        <v>908</v>
      </c>
      <c r="B2757" s="1" t="s">
        <v>1979</v>
      </c>
      <c r="D2757" s="1" t="s">
        <v>1980</v>
      </c>
      <c r="E2757" s="1" t="s">
        <v>2079</v>
      </c>
      <c r="F2757" s="3">
        <v>0</v>
      </c>
      <c r="G2757" s="8" t="s">
        <v>2773</v>
      </c>
      <c r="H2757" s="8" t="s">
        <v>5159</v>
      </c>
      <c r="I2757" s="3">
        <v>20</v>
      </c>
      <c r="J2757" s="3" t="s">
        <v>5628</v>
      </c>
      <c r="K2757" s="17" t="str">
        <f>HYPERLINK("http://ictvonline.org/taxonomyHistory.asp?taxnode_id=20172987","ICTVonline=20172987")</f>
        <v>ICTVonline=20172987</v>
      </c>
      <c r="L2757" s="3">
        <v>2756</v>
      </c>
    </row>
    <row r="2758" spans="1:12" x14ac:dyDescent="0.15">
      <c r="A2758" s="1" t="s">
        <v>908</v>
      </c>
      <c r="B2758" s="1" t="s">
        <v>1979</v>
      </c>
      <c r="D2758" s="1" t="s">
        <v>1980</v>
      </c>
      <c r="E2758" s="1" t="s">
        <v>1838</v>
      </c>
      <c r="F2758" s="3">
        <v>0</v>
      </c>
      <c r="G2758" s="8" t="s">
        <v>2773</v>
      </c>
      <c r="H2758" s="8" t="s">
        <v>5159</v>
      </c>
      <c r="I2758" s="3">
        <v>25</v>
      </c>
      <c r="J2758" s="3" t="s">
        <v>6053</v>
      </c>
      <c r="K2758" s="17" t="str">
        <f>HYPERLINK("http://ictvonline.org/taxonomyHistory.asp?taxnode_id=20172988","ICTVonline=20172988")</f>
        <v>ICTVonline=20172988</v>
      </c>
      <c r="L2758" s="3">
        <v>2757</v>
      </c>
    </row>
    <row r="2759" spans="1:12" x14ac:dyDescent="0.15">
      <c r="A2759" s="1" t="s">
        <v>908</v>
      </c>
      <c r="B2759" s="1" t="s">
        <v>1979</v>
      </c>
      <c r="D2759" s="1" t="s">
        <v>1980</v>
      </c>
      <c r="E2759" s="1" t="s">
        <v>2143</v>
      </c>
      <c r="F2759" s="3">
        <v>0</v>
      </c>
      <c r="G2759" s="8" t="s">
        <v>2773</v>
      </c>
      <c r="H2759" s="8" t="s">
        <v>5159</v>
      </c>
      <c r="I2759" s="3">
        <v>25</v>
      </c>
      <c r="J2759" s="3" t="s">
        <v>6054</v>
      </c>
      <c r="K2759" s="17" t="str">
        <f>HYPERLINK("http://ictvonline.org/taxonomyHistory.asp?taxnode_id=20172989","ICTVonline=20172989")</f>
        <v>ICTVonline=20172989</v>
      </c>
      <c r="L2759" s="3">
        <v>2758</v>
      </c>
    </row>
    <row r="2760" spans="1:12" x14ac:dyDescent="0.15">
      <c r="A2760" s="1" t="s">
        <v>908</v>
      </c>
      <c r="B2760" s="1" t="s">
        <v>1979</v>
      </c>
      <c r="D2760" s="1" t="s">
        <v>2080</v>
      </c>
      <c r="E2760" s="1" t="s">
        <v>2081</v>
      </c>
      <c r="F2760" s="3">
        <v>0</v>
      </c>
      <c r="G2760" s="8" t="s">
        <v>2773</v>
      </c>
      <c r="H2760" s="8" t="s">
        <v>5161</v>
      </c>
      <c r="I2760" s="3">
        <v>15</v>
      </c>
      <c r="J2760" s="3" t="s">
        <v>6055</v>
      </c>
      <c r="K2760" s="17" t="str">
        <f>HYPERLINK("http://ictvonline.org/taxonomyHistory.asp?taxnode_id=20172991","ICTVonline=20172991")</f>
        <v>ICTVonline=20172991</v>
      </c>
      <c r="L2760" s="3">
        <v>2759</v>
      </c>
    </row>
    <row r="2761" spans="1:12" x14ac:dyDescent="0.15">
      <c r="A2761" s="1" t="s">
        <v>908</v>
      </c>
      <c r="B2761" s="1" t="s">
        <v>1979</v>
      </c>
      <c r="D2761" s="1" t="s">
        <v>2080</v>
      </c>
      <c r="E2761" s="1" t="s">
        <v>2082</v>
      </c>
      <c r="F2761" s="3">
        <v>1</v>
      </c>
      <c r="G2761" s="8" t="s">
        <v>2773</v>
      </c>
      <c r="H2761" s="8" t="s">
        <v>5161</v>
      </c>
      <c r="I2761" s="3">
        <v>15</v>
      </c>
      <c r="J2761" s="3" t="s">
        <v>6055</v>
      </c>
      <c r="K2761" s="17" t="str">
        <f>HYPERLINK("http://ictvonline.org/taxonomyHistory.asp?taxnode_id=20172992","ICTVonline=20172992")</f>
        <v>ICTVonline=20172992</v>
      </c>
      <c r="L2761" s="3">
        <v>2760</v>
      </c>
    </row>
    <row r="2762" spans="1:12" x14ac:dyDescent="0.15">
      <c r="A2762" s="1" t="s">
        <v>908</v>
      </c>
      <c r="B2762" s="1" t="s">
        <v>1979</v>
      </c>
      <c r="D2762" s="1" t="s">
        <v>2080</v>
      </c>
      <c r="E2762" s="1" t="s">
        <v>2083</v>
      </c>
      <c r="F2762" s="3">
        <v>0</v>
      </c>
      <c r="G2762" s="8" t="s">
        <v>2773</v>
      </c>
      <c r="H2762" s="8" t="s">
        <v>5161</v>
      </c>
      <c r="I2762" s="3">
        <v>15</v>
      </c>
      <c r="J2762" s="3" t="s">
        <v>6055</v>
      </c>
      <c r="K2762" s="17" t="str">
        <f>HYPERLINK("http://ictvonline.org/taxonomyHistory.asp?taxnode_id=20172993","ICTVonline=20172993")</f>
        <v>ICTVonline=20172993</v>
      </c>
      <c r="L2762" s="3">
        <v>2761</v>
      </c>
    </row>
    <row r="2763" spans="1:12" x14ac:dyDescent="0.15">
      <c r="A2763" s="1" t="s">
        <v>908</v>
      </c>
      <c r="B2763" s="1" t="s">
        <v>1979</v>
      </c>
      <c r="D2763" s="1" t="s">
        <v>2080</v>
      </c>
      <c r="E2763" s="1" t="s">
        <v>2084</v>
      </c>
      <c r="F2763" s="3">
        <v>0</v>
      </c>
      <c r="G2763" s="8" t="s">
        <v>2773</v>
      </c>
      <c r="H2763" s="8" t="s">
        <v>5161</v>
      </c>
      <c r="I2763" s="3">
        <v>15</v>
      </c>
      <c r="J2763" s="3" t="s">
        <v>6055</v>
      </c>
      <c r="K2763" s="17" t="str">
        <f>HYPERLINK("http://ictvonline.org/taxonomyHistory.asp?taxnode_id=20172994","ICTVonline=20172994")</f>
        <v>ICTVonline=20172994</v>
      </c>
      <c r="L2763" s="3">
        <v>2762</v>
      </c>
    </row>
    <row r="2764" spans="1:12" x14ac:dyDescent="0.15">
      <c r="A2764" s="1" t="s">
        <v>908</v>
      </c>
      <c r="B2764" s="1" t="s">
        <v>1979</v>
      </c>
      <c r="D2764" s="1" t="s">
        <v>2080</v>
      </c>
      <c r="E2764" s="1" t="s">
        <v>2085</v>
      </c>
      <c r="F2764" s="3">
        <v>0</v>
      </c>
      <c r="G2764" s="8" t="s">
        <v>2773</v>
      </c>
      <c r="H2764" s="8" t="s">
        <v>5161</v>
      </c>
      <c r="I2764" s="3">
        <v>15</v>
      </c>
      <c r="J2764" s="3" t="s">
        <v>6055</v>
      </c>
      <c r="K2764" s="17" t="str">
        <f>HYPERLINK("http://ictvonline.org/taxonomyHistory.asp?taxnode_id=20172995","ICTVonline=20172995")</f>
        <v>ICTVonline=20172995</v>
      </c>
      <c r="L2764" s="3">
        <v>2763</v>
      </c>
    </row>
    <row r="2765" spans="1:12" x14ac:dyDescent="0.15">
      <c r="A2765" s="1" t="s">
        <v>908</v>
      </c>
      <c r="B2765" s="1" t="s">
        <v>1979</v>
      </c>
      <c r="D2765" s="1" t="s">
        <v>2080</v>
      </c>
      <c r="E2765" s="1" t="s">
        <v>2086</v>
      </c>
      <c r="F2765" s="3">
        <v>0</v>
      </c>
      <c r="G2765" s="8" t="s">
        <v>2773</v>
      </c>
      <c r="H2765" s="8" t="s">
        <v>5161</v>
      </c>
      <c r="I2765" s="3">
        <v>15</v>
      </c>
      <c r="J2765" s="3" t="s">
        <v>6055</v>
      </c>
      <c r="K2765" s="17" t="str">
        <f>HYPERLINK("http://ictvonline.org/taxonomyHistory.asp?taxnode_id=20172996","ICTVonline=20172996")</f>
        <v>ICTVonline=20172996</v>
      </c>
      <c r="L2765" s="3">
        <v>2764</v>
      </c>
    </row>
    <row r="2766" spans="1:12" x14ac:dyDescent="0.15">
      <c r="A2766" s="1" t="s">
        <v>908</v>
      </c>
      <c r="B2766" s="1" t="s">
        <v>1979</v>
      </c>
      <c r="D2766" s="1" t="s">
        <v>2080</v>
      </c>
      <c r="E2766" s="1" t="s">
        <v>2087</v>
      </c>
      <c r="F2766" s="3">
        <v>0</v>
      </c>
      <c r="G2766" s="8" t="s">
        <v>2773</v>
      </c>
      <c r="H2766" s="8" t="s">
        <v>5159</v>
      </c>
      <c r="I2766" s="3">
        <v>18</v>
      </c>
      <c r="J2766" s="3" t="s">
        <v>5597</v>
      </c>
      <c r="K2766" s="17" t="str">
        <f>HYPERLINK("http://ictvonline.org/taxonomyHistory.asp?taxnode_id=20172997","ICTVonline=20172997")</f>
        <v>ICTVonline=20172997</v>
      </c>
      <c r="L2766" s="3">
        <v>2765</v>
      </c>
    </row>
    <row r="2767" spans="1:12" x14ac:dyDescent="0.15">
      <c r="A2767" s="1" t="s">
        <v>908</v>
      </c>
      <c r="B2767" s="1" t="s">
        <v>1979</v>
      </c>
      <c r="D2767" s="1" t="s">
        <v>2080</v>
      </c>
      <c r="E2767" s="1" t="s">
        <v>2088</v>
      </c>
      <c r="F2767" s="3">
        <v>0</v>
      </c>
      <c r="G2767" s="8" t="s">
        <v>2773</v>
      </c>
      <c r="H2767" s="8" t="s">
        <v>5159</v>
      </c>
      <c r="I2767" s="3">
        <v>24</v>
      </c>
      <c r="J2767" s="3" t="s">
        <v>6056</v>
      </c>
      <c r="K2767" s="17" t="str">
        <f>HYPERLINK("http://ictvonline.org/taxonomyHistory.asp?taxnode_id=20172998","ICTVonline=20172998")</f>
        <v>ICTVonline=20172998</v>
      </c>
      <c r="L2767" s="3">
        <v>2766</v>
      </c>
    </row>
    <row r="2768" spans="1:12" x14ac:dyDescent="0.15">
      <c r="A2768" s="1" t="s">
        <v>908</v>
      </c>
      <c r="B2768" s="1" t="s">
        <v>1979</v>
      </c>
      <c r="D2768" s="1" t="s">
        <v>2080</v>
      </c>
      <c r="E2768" s="1" t="s">
        <v>93</v>
      </c>
      <c r="F2768" s="3">
        <v>0</v>
      </c>
      <c r="G2768" s="8" t="s">
        <v>2773</v>
      </c>
      <c r="H2768" s="8" t="s">
        <v>5159</v>
      </c>
      <c r="I2768" s="3">
        <v>26</v>
      </c>
      <c r="J2768" s="3" t="s">
        <v>6057</v>
      </c>
      <c r="K2768" s="17" t="str">
        <f>HYPERLINK("http://ictvonline.org/taxonomyHistory.asp?taxnode_id=20172999","ICTVonline=20172999")</f>
        <v>ICTVonline=20172999</v>
      </c>
      <c r="L2768" s="3">
        <v>2767</v>
      </c>
    </row>
    <row r="2769" spans="1:12" x14ac:dyDescent="0.15">
      <c r="A2769" s="1" t="s">
        <v>908</v>
      </c>
      <c r="B2769" s="1" t="s">
        <v>1979</v>
      </c>
      <c r="D2769" s="1" t="s">
        <v>2080</v>
      </c>
      <c r="E2769" s="1" t="s">
        <v>4896</v>
      </c>
      <c r="F2769" s="3">
        <v>0</v>
      </c>
      <c r="G2769" s="8" t="s">
        <v>2773</v>
      </c>
      <c r="H2769" s="8" t="s">
        <v>5159</v>
      </c>
      <c r="I2769" s="3">
        <v>31</v>
      </c>
      <c r="J2769" s="3" t="s">
        <v>6058</v>
      </c>
      <c r="K2769" s="17" t="str">
        <f>HYPERLINK("http://ictvonline.org/taxonomyHistory.asp?taxnode_id=20173000","ICTVonline=20173000")</f>
        <v>ICTVonline=20173000</v>
      </c>
      <c r="L2769" s="3">
        <v>2768</v>
      </c>
    </row>
    <row r="2770" spans="1:12" x14ac:dyDescent="0.15">
      <c r="A2770" s="1" t="s">
        <v>908</v>
      </c>
      <c r="B2770" s="1" t="s">
        <v>1979</v>
      </c>
      <c r="D2770" s="1" t="s">
        <v>2080</v>
      </c>
      <c r="E2770" s="1" t="s">
        <v>94</v>
      </c>
      <c r="F2770" s="3">
        <v>0</v>
      </c>
      <c r="G2770" s="8" t="s">
        <v>2773</v>
      </c>
      <c r="H2770" s="8" t="s">
        <v>5159</v>
      </c>
      <c r="I2770" s="3">
        <v>26</v>
      </c>
      <c r="J2770" s="3" t="s">
        <v>6057</v>
      </c>
      <c r="K2770" s="17" t="str">
        <f>HYPERLINK("http://ictvonline.org/taxonomyHistory.asp?taxnode_id=20173001","ICTVonline=20173001")</f>
        <v>ICTVonline=20173001</v>
      </c>
      <c r="L2770" s="3">
        <v>2769</v>
      </c>
    </row>
    <row r="2771" spans="1:12" x14ac:dyDescent="0.15">
      <c r="A2771" s="1" t="s">
        <v>908</v>
      </c>
      <c r="B2771" s="1" t="s">
        <v>1979</v>
      </c>
      <c r="D2771" s="1" t="s">
        <v>2080</v>
      </c>
      <c r="E2771" s="1" t="s">
        <v>4897</v>
      </c>
      <c r="F2771" s="3">
        <v>0</v>
      </c>
      <c r="G2771" s="8" t="s">
        <v>2773</v>
      </c>
      <c r="H2771" s="8" t="s">
        <v>5159</v>
      </c>
      <c r="I2771" s="3">
        <v>31</v>
      </c>
      <c r="J2771" s="3" t="s">
        <v>6058</v>
      </c>
      <c r="K2771" s="17" t="str">
        <f>HYPERLINK("http://ictvonline.org/taxonomyHistory.asp?taxnode_id=20173002","ICTVonline=20173002")</f>
        <v>ICTVonline=20173002</v>
      </c>
      <c r="L2771" s="3">
        <v>2770</v>
      </c>
    </row>
    <row r="2772" spans="1:12" x14ac:dyDescent="0.15">
      <c r="A2772" s="1" t="s">
        <v>908</v>
      </c>
      <c r="B2772" s="1" t="s">
        <v>1979</v>
      </c>
      <c r="D2772" s="1" t="s">
        <v>2080</v>
      </c>
      <c r="E2772" s="1" t="s">
        <v>2089</v>
      </c>
      <c r="F2772" s="3">
        <v>0</v>
      </c>
      <c r="G2772" s="8" t="s">
        <v>2773</v>
      </c>
      <c r="H2772" s="8" t="s">
        <v>5161</v>
      </c>
      <c r="I2772" s="3">
        <v>15</v>
      </c>
      <c r="J2772" s="3" t="s">
        <v>6055</v>
      </c>
      <c r="K2772" s="17" t="str">
        <f>HYPERLINK("http://ictvonline.org/taxonomyHistory.asp?taxnode_id=20173003","ICTVonline=20173003")</f>
        <v>ICTVonline=20173003</v>
      </c>
      <c r="L2772" s="3">
        <v>2771</v>
      </c>
    </row>
    <row r="2773" spans="1:12" x14ac:dyDescent="0.15">
      <c r="A2773" s="1" t="s">
        <v>908</v>
      </c>
      <c r="B2773" s="1" t="s">
        <v>1979</v>
      </c>
      <c r="D2773" s="1" t="s">
        <v>2090</v>
      </c>
      <c r="E2773" s="1" t="s">
        <v>2091</v>
      </c>
      <c r="F2773" s="3">
        <v>0</v>
      </c>
      <c r="G2773" s="8" t="s">
        <v>2773</v>
      </c>
      <c r="H2773" s="8" t="s">
        <v>5159</v>
      </c>
      <c r="I2773" s="3">
        <v>17</v>
      </c>
      <c r="J2773" s="3" t="s">
        <v>5970</v>
      </c>
      <c r="K2773" s="17" t="str">
        <f>HYPERLINK("http://ictvonline.org/taxonomyHistory.asp?taxnode_id=20173005","ICTVonline=20173005")</f>
        <v>ICTVonline=20173005</v>
      </c>
      <c r="L2773" s="3">
        <v>2772</v>
      </c>
    </row>
    <row r="2774" spans="1:12" x14ac:dyDescent="0.15">
      <c r="A2774" s="1" t="s">
        <v>908</v>
      </c>
      <c r="B2774" s="1" t="s">
        <v>1979</v>
      </c>
      <c r="D2774" s="1" t="s">
        <v>2090</v>
      </c>
      <c r="E2774" s="1" t="s">
        <v>2144</v>
      </c>
      <c r="F2774" s="3">
        <v>0</v>
      </c>
      <c r="G2774" s="8" t="s">
        <v>2773</v>
      </c>
      <c r="H2774" s="8" t="s">
        <v>5159</v>
      </c>
      <c r="I2774" s="3">
        <v>25</v>
      </c>
      <c r="J2774" s="3" t="s">
        <v>6059</v>
      </c>
      <c r="K2774" s="17" t="str">
        <f>HYPERLINK("http://ictvonline.org/taxonomyHistory.asp?taxnode_id=20173006","ICTVonline=20173006")</f>
        <v>ICTVonline=20173006</v>
      </c>
      <c r="L2774" s="3">
        <v>2773</v>
      </c>
    </row>
    <row r="2775" spans="1:12" x14ac:dyDescent="0.15">
      <c r="A2775" s="1" t="s">
        <v>908</v>
      </c>
      <c r="B2775" s="1" t="s">
        <v>1979</v>
      </c>
      <c r="D2775" s="1" t="s">
        <v>2090</v>
      </c>
      <c r="E2775" s="1" t="s">
        <v>489</v>
      </c>
      <c r="F2775" s="3">
        <v>0</v>
      </c>
      <c r="G2775" s="8" t="s">
        <v>2773</v>
      </c>
      <c r="H2775" s="8" t="s">
        <v>5159</v>
      </c>
      <c r="I2775" s="3">
        <v>23</v>
      </c>
      <c r="J2775" s="3" t="s">
        <v>6020</v>
      </c>
      <c r="K2775" s="17" t="str">
        <f>HYPERLINK("http://ictvonline.org/taxonomyHistory.asp?taxnode_id=20173007","ICTVonline=20173007")</f>
        <v>ICTVonline=20173007</v>
      </c>
      <c r="L2775" s="3">
        <v>2774</v>
      </c>
    </row>
    <row r="2776" spans="1:12" x14ac:dyDescent="0.15">
      <c r="A2776" s="1" t="s">
        <v>908</v>
      </c>
      <c r="B2776" s="1" t="s">
        <v>1979</v>
      </c>
      <c r="D2776" s="1" t="s">
        <v>2090</v>
      </c>
      <c r="E2776" s="1" t="s">
        <v>490</v>
      </c>
      <c r="F2776" s="3">
        <v>0</v>
      </c>
      <c r="G2776" s="8" t="s">
        <v>2773</v>
      </c>
      <c r="H2776" s="8" t="s">
        <v>5159</v>
      </c>
      <c r="I2776" s="3">
        <v>24</v>
      </c>
      <c r="J2776" s="3" t="s">
        <v>6060</v>
      </c>
      <c r="K2776" s="17" t="str">
        <f>HYPERLINK("http://ictvonline.org/taxonomyHistory.asp?taxnode_id=20173008","ICTVonline=20173008")</f>
        <v>ICTVonline=20173008</v>
      </c>
      <c r="L2776" s="3">
        <v>2775</v>
      </c>
    </row>
    <row r="2777" spans="1:12" x14ac:dyDescent="0.15">
      <c r="A2777" s="1" t="s">
        <v>908</v>
      </c>
      <c r="B2777" s="1" t="s">
        <v>1979</v>
      </c>
      <c r="D2777" s="1" t="s">
        <v>2090</v>
      </c>
      <c r="E2777" s="1" t="s">
        <v>2092</v>
      </c>
      <c r="F2777" s="3">
        <v>0</v>
      </c>
      <c r="G2777" s="8" t="s">
        <v>2773</v>
      </c>
      <c r="H2777" s="8" t="s">
        <v>5159</v>
      </c>
      <c r="I2777" s="3">
        <v>17</v>
      </c>
      <c r="J2777" s="3" t="s">
        <v>5970</v>
      </c>
      <c r="K2777" s="17" t="str">
        <f>HYPERLINK("http://ictvonline.org/taxonomyHistory.asp?taxnode_id=20173009","ICTVonline=20173009")</f>
        <v>ICTVonline=20173009</v>
      </c>
      <c r="L2777" s="3">
        <v>2776</v>
      </c>
    </row>
    <row r="2778" spans="1:12" x14ac:dyDescent="0.15">
      <c r="A2778" s="1" t="s">
        <v>908</v>
      </c>
      <c r="B2778" s="1" t="s">
        <v>1979</v>
      </c>
      <c r="D2778" s="1" t="s">
        <v>2090</v>
      </c>
      <c r="E2778" s="1" t="s">
        <v>2248</v>
      </c>
      <c r="F2778" s="3">
        <v>0</v>
      </c>
      <c r="G2778" s="8" t="s">
        <v>2773</v>
      </c>
      <c r="H2778" s="8" t="s">
        <v>5159</v>
      </c>
      <c r="I2778" s="3">
        <v>27</v>
      </c>
      <c r="J2778" s="3" t="s">
        <v>6061</v>
      </c>
      <c r="K2778" s="17" t="str">
        <f>HYPERLINK("http://ictvonline.org/taxonomyHistory.asp?taxnode_id=20173010","ICTVonline=20173010")</f>
        <v>ICTVonline=20173010</v>
      </c>
      <c r="L2778" s="3">
        <v>2777</v>
      </c>
    </row>
    <row r="2779" spans="1:12" x14ac:dyDescent="0.15">
      <c r="A2779" s="1" t="s">
        <v>908</v>
      </c>
      <c r="B2779" s="1" t="s">
        <v>1979</v>
      </c>
      <c r="D2779" s="1" t="s">
        <v>2090</v>
      </c>
      <c r="E2779" s="1" t="s">
        <v>1989</v>
      </c>
      <c r="F2779" s="3">
        <v>0</v>
      </c>
      <c r="G2779" s="8" t="s">
        <v>2773</v>
      </c>
      <c r="H2779" s="8" t="s">
        <v>5159</v>
      </c>
      <c r="I2779" s="3">
        <v>17</v>
      </c>
      <c r="J2779" s="3" t="s">
        <v>5970</v>
      </c>
      <c r="K2779" s="17" t="str">
        <f>HYPERLINK("http://ictvonline.org/taxonomyHistory.asp?taxnode_id=20173011","ICTVonline=20173011")</f>
        <v>ICTVonline=20173011</v>
      </c>
      <c r="L2779" s="3">
        <v>2778</v>
      </c>
    </row>
    <row r="2780" spans="1:12" x14ac:dyDescent="0.15">
      <c r="A2780" s="1" t="s">
        <v>908</v>
      </c>
      <c r="B2780" s="1" t="s">
        <v>1979</v>
      </c>
      <c r="D2780" s="1" t="s">
        <v>2090</v>
      </c>
      <c r="E2780" s="1" t="s">
        <v>1990</v>
      </c>
      <c r="F2780" s="3">
        <v>1</v>
      </c>
      <c r="G2780" s="8" t="s">
        <v>2773</v>
      </c>
      <c r="H2780" s="8" t="s">
        <v>5161</v>
      </c>
      <c r="I2780" s="3">
        <v>16</v>
      </c>
      <c r="J2780" s="3" t="s">
        <v>6032</v>
      </c>
      <c r="K2780" s="17" t="str">
        <f>HYPERLINK("http://ictvonline.org/taxonomyHistory.asp?taxnode_id=20173012","ICTVonline=20173012")</f>
        <v>ICTVonline=20173012</v>
      </c>
      <c r="L2780" s="3">
        <v>2779</v>
      </c>
    </row>
    <row r="2781" spans="1:12" x14ac:dyDescent="0.15">
      <c r="A2781" s="1" t="s">
        <v>908</v>
      </c>
      <c r="B2781" s="1" t="s">
        <v>1979</v>
      </c>
      <c r="D2781" s="1" t="s">
        <v>2090</v>
      </c>
      <c r="E2781" s="1" t="s">
        <v>1991</v>
      </c>
      <c r="F2781" s="3">
        <v>0</v>
      </c>
      <c r="G2781" s="8" t="s">
        <v>2773</v>
      </c>
      <c r="H2781" s="8" t="s">
        <v>5159</v>
      </c>
      <c r="I2781" s="3">
        <v>24</v>
      </c>
      <c r="J2781" s="3" t="s">
        <v>6062</v>
      </c>
      <c r="K2781" s="17" t="str">
        <f>HYPERLINK("http://ictvonline.org/taxonomyHistory.asp?taxnode_id=20173013","ICTVonline=20173013")</f>
        <v>ICTVonline=20173013</v>
      </c>
      <c r="L2781" s="3">
        <v>2780</v>
      </c>
    </row>
    <row r="2782" spans="1:12" x14ac:dyDescent="0.15">
      <c r="A2782" s="1" t="s">
        <v>908</v>
      </c>
      <c r="B2782" s="1" t="s">
        <v>1979</v>
      </c>
      <c r="D2782" s="1" t="s">
        <v>2090</v>
      </c>
      <c r="E2782" s="1" t="s">
        <v>1992</v>
      </c>
      <c r="F2782" s="3">
        <v>0</v>
      </c>
      <c r="G2782" s="8" t="s">
        <v>2773</v>
      </c>
      <c r="H2782" s="8" t="s">
        <v>5159</v>
      </c>
      <c r="I2782" s="3">
        <v>24</v>
      </c>
      <c r="J2782" s="3" t="s">
        <v>6063</v>
      </c>
      <c r="K2782" s="17" t="str">
        <f>HYPERLINK("http://ictvonline.org/taxonomyHistory.asp?taxnode_id=20173014","ICTVonline=20173014")</f>
        <v>ICTVonline=20173014</v>
      </c>
      <c r="L2782" s="3">
        <v>2781</v>
      </c>
    </row>
    <row r="2783" spans="1:12" x14ac:dyDescent="0.15">
      <c r="A2783" s="1" t="s">
        <v>908</v>
      </c>
      <c r="B2783" s="1" t="s">
        <v>1979</v>
      </c>
      <c r="D2783" s="1" t="s">
        <v>2090</v>
      </c>
      <c r="E2783" s="1" t="s">
        <v>487</v>
      </c>
      <c r="F2783" s="3">
        <v>0</v>
      </c>
      <c r="G2783" s="8" t="s">
        <v>2773</v>
      </c>
      <c r="H2783" s="8" t="s">
        <v>5159</v>
      </c>
      <c r="I2783" s="3">
        <v>17</v>
      </c>
      <c r="J2783" s="3" t="s">
        <v>5970</v>
      </c>
      <c r="K2783" s="17" t="str">
        <f>HYPERLINK("http://ictvonline.org/taxonomyHistory.asp?taxnode_id=20173015","ICTVonline=20173015")</f>
        <v>ICTVonline=20173015</v>
      </c>
      <c r="L2783" s="3">
        <v>2782</v>
      </c>
    </row>
    <row r="2784" spans="1:12" x14ac:dyDescent="0.15">
      <c r="A2784" s="1" t="s">
        <v>908</v>
      </c>
      <c r="B2784" s="1" t="s">
        <v>1979</v>
      </c>
      <c r="D2784" s="1" t="s">
        <v>2090</v>
      </c>
      <c r="E2784" s="1" t="s">
        <v>4898</v>
      </c>
      <c r="F2784" s="3">
        <v>0</v>
      </c>
      <c r="G2784" s="8" t="s">
        <v>2773</v>
      </c>
      <c r="H2784" s="8" t="s">
        <v>5159</v>
      </c>
      <c r="I2784" s="3">
        <v>31</v>
      </c>
      <c r="J2784" s="3" t="s">
        <v>6058</v>
      </c>
      <c r="K2784" s="17" t="str">
        <f>HYPERLINK("http://ictvonline.org/taxonomyHistory.asp?taxnode_id=20173016","ICTVonline=20173016")</f>
        <v>ICTVonline=20173016</v>
      </c>
      <c r="L2784" s="3">
        <v>2783</v>
      </c>
    </row>
    <row r="2785" spans="1:12" x14ac:dyDescent="0.15">
      <c r="A2785" s="1" t="s">
        <v>908</v>
      </c>
      <c r="B2785" s="1" t="s">
        <v>1979</v>
      </c>
      <c r="D2785" s="1" t="s">
        <v>2090</v>
      </c>
      <c r="E2785" s="1" t="s">
        <v>488</v>
      </c>
      <c r="F2785" s="3">
        <v>0</v>
      </c>
      <c r="G2785" s="8" t="s">
        <v>2773</v>
      </c>
      <c r="H2785" s="8" t="s">
        <v>5159</v>
      </c>
      <c r="I2785" s="3">
        <v>17</v>
      </c>
      <c r="J2785" s="3" t="s">
        <v>5970</v>
      </c>
      <c r="K2785" s="17" t="str">
        <f>HYPERLINK("http://ictvonline.org/taxonomyHistory.asp?taxnode_id=20173017","ICTVonline=20173017")</f>
        <v>ICTVonline=20173017</v>
      </c>
      <c r="L2785" s="3">
        <v>2784</v>
      </c>
    </row>
    <row r="2786" spans="1:12" x14ac:dyDescent="0.15">
      <c r="A2786" s="1" t="s">
        <v>908</v>
      </c>
      <c r="B2786" s="1" t="s">
        <v>1979</v>
      </c>
      <c r="D2786" s="1" t="s">
        <v>2090</v>
      </c>
      <c r="E2786" s="1" t="s">
        <v>1575</v>
      </c>
      <c r="F2786" s="3">
        <v>0</v>
      </c>
      <c r="G2786" s="8" t="s">
        <v>2773</v>
      </c>
      <c r="H2786" s="8" t="s">
        <v>5159</v>
      </c>
      <c r="I2786" s="3">
        <v>17</v>
      </c>
      <c r="J2786" s="3" t="s">
        <v>5970</v>
      </c>
      <c r="K2786" s="17" t="str">
        <f>HYPERLINK("http://ictvonline.org/taxonomyHistory.asp?taxnode_id=20173018","ICTVonline=20173018")</f>
        <v>ICTVonline=20173018</v>
      </c>
      <c r="L2786" s="3">
        <v>2785</v>
      </c>
    </row>
    <row r="2787" spans="1:12" x14ac:dyDescent="0.15">
      <c r="A2787" s="1" t="s">
        <v>908</v>
      </c>
      <c r="B2787" s="1" t="s">
        <v>1979</v>
      </c>
      <c r="D2787" s="1" t="s">
        <v>908</v>
      </c>
      <c r="E2787" s="1" t="s">
        <v>2169</v>
      </c>
      <c r="F2787" s="3">
        <v>0</v>
      </c>
      <c r="G2787" s="8" t="s">
        <v>2773</v>
      </c>
      <c r="H2787" s="8" t="s">
        <v>5159</v>
      </c>
      <c r="I2787" s="3">
        <v>26</v>
      </c>
      <c r="J2787" s="3" t="s">
        <v>6064</v>
      </c>
      <c r="K2787" s="17" t="str">
        <f>HYPERLINK("http://ictvonline.org/taxonomyHistory.asp?taxnode_id=20173020","ICTVonline=20173020")</f>
        <v>ICTVonline=20173020</v>
      </c>
      <c r="L2787" s="3">
        <v>2786</v>
      </c>
    </row>
    <row r="2788" spans="1:12" x14ac:dyDescent="0.15">
      <c r="A2788" s="1" t="s">
        <v>908</v>
      </c>
      <c r="B2788" s="1" t="s">
        <v>1979</v>
      </c>
      <c r="D2788" s="1" t="s">
        <v>908</v>
      </c>
      <c r="E2788" s="1" t="s">
        <v>3905</v>
      </c>
      <c r="F2788" s="3">
        <v>0</v>
      </c>
      <c r="G2788" s="8" t="s">
        <v>2773</v>
      </c>
      <c r="H2788" s="8" t="s">
        <v>5159</v>
      </c>
      <c r="I2788" s="3">
        <v>30</v>
      </c>
      <c r="J2788" s="3" t="s">
        <v>6049</v>
      </c>
      <c r="K2788" s="17" t="str">
        <f>HYPERLINK("http://ictvonline.org/taxonomyHistory.asp?taxnode_id=20173021","ICTVonline=20173021")</f>
        <v>ICTVonline=20173021</v>
      </c>
      <c r="L2788" s="3">
        <v>2787</v>
      </c>
    </row>
    <row r="2789" spans="1:12" x14ac:dyDescent="0.15">
      <c r="A2789" s="1" t="s">
        <v>908</v>
      </c>
      <c r="B2789" s="1" t="s">
        <v>1979</v>
      </c>
      <c r="D2789" s="1" t="s">
        <v>908</v>
      </c>
      <c r="E2789" s="1" t="s">
        <v>2172</v>
      </c>
      <c r="F2789" s="3">
        <v>0</v>
      </c>
      <c r="G2789" s="8" t="s">
        <v>2773</v>
      </c>
      <c r="H2789" s="8" t="s">
        <v>5159</v>
      </c>
      <c r="I2789" s="3">
        <v>26</v>
      </c>
      <c r="J2789" s="3" t="s">
        <v>6064</v>
      </c>
      <c r="K2789" s="17" t="str">
        <f>HYPERLINK("http://ictvonline.org/taxonomyHistory.asp?taxnode_id=20173022","ICTVonline=20173022")</f>
        <v>ICTVonline=20173022</v>
      </c>
      <c r="L2789" s="3">
        <v>2788</v>
      </c>
    </row>
    <row r="2790" spans="1:12" x14ac:dyDescent="0.15">
      <c r="A2790" s="1" t="s">
        <v>908</v>
      </c>
      <c r="B2790" s="1" t="s">
        <v>1979</v>
      </c>
      <c r="D2790" s="1" t="s">
        <v>908</v>
      </c>
      <c r="E2790" s="1" t="s">
        <v>1576</v>
      </c>
      <c r="F2790" s="3">
        <v>0</v>
      </c>
      <c r="G2790" s="8" t="s">
        <v>2773</v>
      </c>
      <c r="H2790" s="8" t="s">
        <v>5159</v>
      </c>
      <c r="I2790" s="3">
        <v>24</v>
      </c>
      <c r="J2790" s="3" t="s">
        <v>6065</v>
      </c>
      <c r="K2790" s="17" t="str">
        <f>HYPERLINK("http://ictvonline.org/taxonomyHistory.asp?taxnode_id=20173023","ICTVonline=20173023")</f>
        <v>ICTVonline=20173023</v>
      </c>
      <c r="L2790" s="3">
        <v>2789</v>
      </c>
    </row>
    <row r="2791" spans="1:12" x14ac:dyDescent="0.15">
      <c r="A2791" s="1" t="s">
        <v>908</v>
      </c>
      <c r="B2791" s="1" t="s">
        <v>1979</v>
      </c>
      <c r="D2791" s="1" t="s">
        <v>908</v>
      </c>
      <c r="E2791" s="1" t="s">
        <v>2173</v>
      </c>
      <c r="F2791" s="3">
        <v>0</v>
      </c>
      <c r="G2791" s="8" t="s">
        <v>2773</v>
      </c>
      <c r="H2791" s="8" t="s">
        <v>5159</v>
      </c>
      <c r="I2791" s="3">
        <v>26</v>
      </c>
      <c r="J2791" s="3" t="s">
        <v>6064</v>
      </c>
      <c r="K2791" s="17" t="str">
        <f>HYPERLINK("http://ictvonline.org/taxonomyHistory.asp?taxnode_id=20173024","ICTVonline=20173024")</f>
        <v>ICTVonline=20173024</v>
      </c>
      <c r="L2791" s="3">
        <v>2790</v>
      </c>
    </row>
    <row r="2792" spans="1:12" x14ac:dyDescent="0.15">
      <c r="A2792" s="1" t="s">
        <v>908</v>
      </c>
      <c r="B2792" s="1" t="s">
        <v>1979</v>
      </c>
      <c r="D2792" s="1" t="s">
        <v>908</v>
      </c>
      <c r="E2792" s="1" t="s">
        <v>4899</v>
      </c>
      <c r="F2792" s="3">
        <v>0</v>
      </c>
      <c r="G2792" s="8" t="s">
        <v>2773</v>
      </c>
      <c r="H2792" s="8" t="s">
        <v>5159</v>
      </c>
      <c r="I2792" s="3">
        <v>31</v>
      </c>
      <c r="J2792" s="3" t="s">
        <v>6058</v>
      </c>
      <c r="K2792" s="17" t="str">
        <f>HYPERLINK("http://ictvonline.org/taxonomyHistory.asp?taxnode_id=20173025","ICTVonline=20173025")</f>
        <v>ICTVonline=20173025</v>
      </c>
      <c r="L2792" s="3">
        <v>2791</v>
      </c>
    </row>
    <row r="2793" spans="1:12" x14ac:dyDescent="0.15">
      <c r="A2793" s="1" t="s">
        <v>908</v>
      </c>
      <c r="B2793" s="1" t="s">
        <v>1979</v>
      </c>
      <c r="D2793" s="1" t="s">
        <v>2401</v>
      </c>
      <c r="E2793" s="1" t="s">
        <v>4900</v>
      </c>
      <c r="F2793" s="3">
        <v>0</v>
      </c>
      <c r="G2793" s="8" t="s">
        <v>2773</v>
      </c>
      <c r="H2793" s="8" t="s">
        <v>5159</v>
      </c>
      <c r="I2793" s="3">
        <v>31</v>
      </c>
      <c r="J2793" s="3" t="s">
        <v>6058</v>
      </c>
      <c r="K2793" s="17" t="str">
        <f>HYPERLINK("http://ictvonline.org/taxonomyHistory.asp?taxnode_id=20173027","ICTVonline=20173027")</f>
        <v>ICTVonline=20173027</v>
      </c>
      <c r="L2793" s="3">
        <v>2792</v>
      </c>
    </row>
    <row r="2794" spans="1:12" x14ac:dyDescent="0.15">
      <c r="A2794" s="1" t="s">
        <v>908</v>
      </c>
      <c r="B2794" s="1" t="s">
        <v>1979</v>
      </c>
      <c r="D2794" s="1" t="s">
        <v>2401</v>
      </c>
      <c r="E2794" s="1" t="s">
        <v>2402</v>
      </c>
      <c r="F2794" s="3">
        <v>0</v>
      </c>
      <c r="G2794" s="8" t="s">
        <v>2773</v>
      </c>
      <c r="H2794" s="8" t="s">
        <v>5159</v>
      </c>
      <c r="I2794" s="3">
        <v>28</v>
      </c>
      <c r="J2794" s="3" t="s">
        <v>6066</v>
      </c>
      <c r="K2794" s="17" t="str">
        <f>HYPERLINK("http://ictvonline.org/taxonomyHistory.asp?taxnode_id=20173028","ICTVonline=20173028")</f>
        <v>ICTVonline=20173028</v>
      </c>
      <c r="L2794" s="3">
        <v>2793</v>
      </c>
    </row>
    <row r="2795" spans="1:12" x14ac:dyDescent="0.15">
      <c r="A2795" s="1" t="s">
        <v>908</v>
      </c>
      <c r="B2795" s="1" t="s">
        <v>1979</v>
      </c>
      <c r="D2795" s="1" t="s">
        <v>2401</v>
      </c>
      <c r="E2795" s="1" t="s">
        <v>3906</v>
      </c>
      <c r="F2795" s="3">
        <v>0</v>
      </c>
      <c r="G2795" s="8" t="s">
        <v>2773</v>
      </c>
      <c r="H2795" s="8" t="s">
        <v>5159</v>
      </c>
      <c r="I2795" s="3">
        <v>30</v>
      </c>
      <c r="J2795" s="3" t="s">
        <v>6049</v>
      </c>
      <c r="K2795" s="17" t="str">
        <f>HYPERLINK("http://ictvonline.org/taxonomyHistory.asp?taxnode_id=20173029","ICTVonline=20173029")</f>
        <v>ICTVonline=20173029</v>
      </c>
      <c r="L2795" s="3">
        <v>2794</v>
      </c>
    </row>
    <row r="2796" spans="1:12" x14ac:dyDescent="0.15">
      <c r="A2796" s="1" t="s">
        <v>908</v>
      </c>
      <c r="B2796" s="1" t="s">
        <v>1979</v>
      </c>
      <c r="D2796" s="1" t="s">
        <v>2401</v>
      </c>
      <c r="E2796" s="1" t="s">
        <v>3907</v>
      </c>
      <c r="F2796" s="3">
        <v>0</v>
      </c>
      <c r="G2796" s="8" t="s">
        <v>2773</v>
      </c>
      <c r="H2796" s="8" t="s">
        <v>5159</v>
      </c>
      <c r="I2796" s="3">
        <v>30</v>
      </c>
      <c r="J2796" s="3" t="s">
        <v>6049</v>
      </c>
      <c r="K2796" s="17" t="str">
        <f>HYPERLINK("http://ictvonline.org/taxonomyHistory.asp?taxnode_id=20173030","ICTVonline=20173030")</f>
        <v>ICTVonline=20173030</v>
      </c>
      <c r="L2796" s="3">
        <v>2795</v>
      </c>
    </row>
    <row r="2797" spans="1:12" x14ac:dyDescent="0.15">
      <c r="A2797" s="1" t="s">
        <v>908</v>
      </c>
      <c r="B2797" s="1" t="s">
        <v>1979</v>
      </c>
      <c r="D2797" s="1" t="s">
        <v>2401</v>
      </c>
      <c r="E2797" s="1" t="s">
        <v>3908</v>
      </c>
      <c r="F2797" s="3">
        <v>0</v>
      </c>
      <c r="G2797" s="8" t="s">
        <v>2773</v>
      </c>
      <c r="H2797" s="8" t="s">
        <v>5159</v>
      </c>
      <c r="I2797" s="3">
        <v>30</v>
      </c>
      <c r="J2797" s="3" t="s">
        <v>6049</v>
      </c>
      <c r="K2797" s="17" t="str">
        <f>HYPERLINK("http://ictvonline.org/taxonomyHistory.asp?taxnode_id=20173031","ICTVonline=20173031")</f>
        <v>ICTVonline=20173031</v>
      </c>
      <c r="L2797" s="3">
        <v>2796</v>
      </c>
    </row>
    <row r="2798" spans="1:12" x14ac:dyDescent="0.15">
      <c r="A2798" s="1" t="s">
        <v>908</v>
      </c>
      <c r="B2798" s="1" t="s">
        <v>1979</v>
      </c>
      <c r="D2798" s="1" t="s">
        <v>2401</v>
      </c>
      <c r="E2798" s="1" t="s">
        <v>2170</v>
      </c>
      <c r="F2798" s="3">
        <v>1</v>
      </c>
      <c r="G2798" s="8" t="s">
        <v>2773</v>
      </c>
      <c r="H2798" s="8" t="s">
        <v>5161</v>
      </c>
      <c r="I2798" s="3">
        <v>28</v>
      </c>
      <c r="J2798" s="3" t="s">
        <v>6066</v>
      </c>
      <c r="K2798" s="17" t="str">
        <f>HYPERLINK("http://ictvonline.org/taxonomyHistory.asp?taxnode_id=20173032","ICTVonline=20173032")</f>
        <v>ICTVonline=20173032</v>
      </c>
      <c r="L2798" s="3">
        <v>2797</v>
      </c>
    </row>
    <row r="2799" spans="1:12" x14ac:dyDescent="0.15">
      <c r="A2799" s="1" t="s">
        <v>908</v>
      </c>
      <c r="B2799" s="1" t="s">
        <v>1979</v>
      </c>
      <c r="D2799" s="1" t="s">
        <v>2401</v>
      </c>
      <c r="E2799" s="1" t="s">
        <v>2171</v>
      </c>
      <c r="F2799" s="3">
        <v>0</v>
      </c>
      <c r="G2799" s="8" t="s">
        <v>2773</v>
      </c>
      <c r="H2799" s="8" t="s">
        <v>5161</v>
      </c>
      <c r="I2799" s="3">
        <v>28</v>
      </c>
      <c r="J2799" s="3" t="s">
        <v>6066</v>
      </c>
      <c r="K2799" s="17" t="str">
        <f>HYPERLINK("http://ictvonline.org/taxonomyHistory.asp?taxnode_id=20173033","ICTVonline=20173033")</f>
        <v>ICTVonline=20173033</v>
      </c>
      <c r="L2799" s="3">
        <v>2798</v>
      </c>
    </row>
    <row r="2800" spans="1:12" x14ac:dyDescent="0.15">
      <c r="A2800" s="1" t="s">
        <v>908</v>
      </c>
      <c r="B2800" s="1" t="s">
        <v>2093</v>
      </c>
      <c r="D2800" s="1" t="s">
        <v>2094</v>
      </c>
      <c r="E2800" s="1" t="s">
        <v>3909</v>
      </c>
      <c r="F2800" s="3">
        <v>1</v>
      </c>
      <c r="G2800" s="8" t="s">
        <v>2771</v>
      </c>
      <c r="H2800" s="8" t="s">
        <v>5162</v>
      </c>
      <c r="I2800" s="3">
        <v>30</v>
      </c>
      <c r="J2800" s="3" t="s">
        <v>5297</v>
      </c>
      <c r="K2800" s="17" t="str">
        <f>HYPERLINK("http://ictvonline.org/taxonomyHistory.asp?taxnode_id=20173037","ICTVonline=20173037")</f>
        <v>ICTVonline=20173037</v>
      </c>
      <c r="L2800" s="3">
        <v>2799</v>
      </c>
    </row>
    <row r="2801" spans="1:12" x14ac:dyDescent="0.15">
      <c r="A2801" s="1" t="s">
        <v>908</v>
      </c>
      <c r="B2801" s="1" t="s">
        <v>2096</v>
      </c>
      <c r="D2801" s="1" t="s">
        <v>2101</v>
      </c>
      <c r="E2801" s="1" t="s">
        <v>3910</v>
      </c>
      <c r="F2801" s="3">
        <v>1</v>
      </c>
      <c r="G2801" s="8" t="s">
        <v>2776</v>
      </c>
      <c r="H2801" s="8" t="s">
        <v>5162</v>
      </c>
      <c r="I2801" s="3">
        <v>30</v>
      </c>
      <c r="J2801" s="3" t="s">
        <v>5297</v>
      </c>
      <c r="K2801" s="17" t="str">
        <f>HYPERLINK("http://ictvonline.org/taxonomyHistory.asp?taxnode_id=20173041","ICTVonline=20173041")</f>
        <v>ICTVonline=20173041</v>
      </c>
      <c r="L2801" s="3">
        <v>2800</v>
      </c>
    </row>
    <row r="2802" spans="1:12" x14ac:dyDescent="0.15">
      <c r="A2802" s="1" t="s">
        <v>908</v>
      </c>
      <c r="B2802" s="1" t="s">
        <v>2096</v>
      </c>
      <c r="D2802" s="1" t="s">
        <v>2101</v>
      </c>
      <c r="E2802" s="1" t="s">
        <v>6067</v>
      </c>
      <c r="F2802" s="3">
        <v>0</v>
      </c>
      <c r="G2802" s="8" t="s">
        <v>2776</v>
      </c>
      <c r="H2802" s="8" t="s">
        <v>5159</v>
      </c>
      <c r="I2802" s="3">
        <v>32</v>
      </c>
      <c r="J2802" s="3" t="s">
        <v>6068</v>
      </c>
      <c r="K2802" s="17" t="str">
        <f>HYPERLINK("http://ictvonline.org/taxonomyHistory.asp?taxnode_id=20175775","ICTVonline=20175775")</f>
        <v>ICTVonline=20175775</v>
      </c>
      <c r="L2802" s="3">
        <v>2801</v>
      </c>
    </row>
    <row r="2803" spans="1:12" x14ac:dyDescent="0.15">
      <c r="A2803" s="1" t="s">
        <v>908</v>
      </c>
      <c r="B2803" s="1" t="s">
        <v>2096</v>
      </c>
      <c r="D2803" s="1" t="s">
        <v>2101</v>
      </c>
      <c r="E2803" s="1" t="s">
        <v>6069</v>
      </c>
      <c r="F2803" s="3">
        <v>0</v>
      </c>
      <c r="G2803" s="8" t="s">
        <v>2776</v>
      </c>
      <c r="H2803" s="8" t="s">
        <v>5159</v>
      </c>
      <c r="I2803" s="3">
        <v>32</v>
      </c>
      <c r="J2803" s="3" t="s">
        <v>6068</v>
      </c>
      <c r="K2803" s="17" t="str">
        <f>HYPERLINK("http://ictvonline.org/taxonomyHistory.asp?taxnode_id=20175772","ICTVonline=20175772")</f>
        <v>ICTVonline=20175772</v>
      </c>
      <c r="L2803" s="3">
        <v>2802</v>
      </c>
    </row>
    <row r="2804" spans="1:12" x14ac:dyDescent="0.15">
      <c r="A2804" s="1" t="s">
        <v>908</v>
      </c>
      <c r="B2804" s="1" t="s">
        <v>2096</v>
      </c>
      <c r="D2804" s="1" t="s">
        <v>2101</v>
      </c>
      <c r="E2804" s="1" t="s">
        <v>6070</v>
      </c>
      <c r="F2804" s="3">
        <v>0</v>
      </c>
      <c r="G2804" s="8" t="s">
        <v>2776</v>
      </c>
      <c r="H2804" s="8" t="s">
        <v>5159</v>
      </c>
      <c r="I2804" s="3">
        <v>32</v>
      </c>
      <c r="J2804" s="3" t="s">
        <v>6068</v>
      </c>
      <c r="K2804" s="17" t="str">
        <f>HYPERLINK("http://ictvonline.org/taxonomyHistory.asp?taxnode_id=20175773","ICTVonline=20175773")</f>
        <v>ICTVonline=20175773</v>
      </c>
      <c r="L2804" s="3">
        <v>2803</v>
      </c>
    </row>
    <row r="2805" spans="1:12" x14ac:dyDescent="0.15">
      <c r="A2805" s="1" t="s">
        <v>908</v>
      </c>
      <c r="B2805" s="1" t="s">
        <v>2096</v>
      </c>
      <c r="D2805" s="1" t="s">
        <v>2101</v>
      </c>
      <c r="E2805" s="1" t="s">
        <v>6071</v>
      </c>
      <c r="F2805" s="3">
        <v>0</v>
      </c>
      <c r="G2805" s="8" t="s">
        <v>2776</v>
      </c>
      <c r="H2805" s="8" t="s">
        <v>5159</v>
      </c>
      <c r="I2805" s="3">
        <v>32</v>
      </c>
      <c r="J2805" s="3" t="s">
        <v>6068</v>
      </c>
      <c r="K2805" s="17" t="str">
        <f>HYPERLINK("http://ictvonline.org/taxonomyHistory.asp?taxnode_id=20175774","ICTVonline=20175774")</f>
        <v>ICTVonline=20175774</v>
      </c>
      <c r="L2805" s="3">
        <v>2804</v>
      </c>
    </row>
    <row r="2806" spans="1:12" x14ac:dyDescent="0.15">
      <c r="A2806" s="1" t="s">
        <v>908</v>
      </c>
      <c r="B2806" s="1" t="s">
        <v>2096</v>
      </c>
      <c r="D2806" s="1" t="s">
        <v>2101</v>
      </c>
      <c r="E2806" s="1" t="s">
        <v>6072</v>
      </c>
      <c r="F2806" s="3">
        <v>0</v>
      </c>
      <c r="G2806" s="8" t="s">
        <v>2776</v>
      </c>
      <c r="H2806" s="8" t="s">
        <v>5159</v>
      </c>
      <c r="I2806" s="3">
        <v>32</v>
      </c>
      <c r="J2806" s="3" t="s">
        <v>6068</v>
      </c>
      <c r="K2806" s="17" t="str">
        <f>HYPERLINK("http://ictvonline.org/taxonomyHistory.asp?taxnode_id=20175776","ICTVonline=20175776")</f>
        <v>ICTVonline=20175776</v>
      </c>
      <c r="L2806" s="3">
        <v>2805</v>
      </c>
    </row>
    <row r="2807" spans="1:12" x14ac:dyDescent="0.15">
      <c r="A2807" s="1" t="s">
        <v>908</v>
      </c>
      <c r="B2807" s="1" t="s">
        <v>2096</v>
      </c>
      <c r="D2807" s="1" t="s">
        <v>2101</v>
      </c>
      <c r="E2807" s="1" t="s">
        <v>6073</v>
      </c>
      <c r="F2807" s="3">
        <v>0</v>
      </c>
      <c r="G2807" s="8" t="s">
        <v>2776</v>
      </c>
      <c r="H2807" s="8" t="s">
        <v>5159</v>
      </c>
      <c r="I2807" s="3">
        <v>32</v>
      </c>
      <c r="J2807" s="3" t="s">
        <v>6068</v>
      </c>
      <c r="K2807" s="17" t="str">
        <f>HYPERLINK("http://ictvonline.org/taxonomyHistory.asp?taxnode_id=20175777","ICTVonline=20175777")</f>
        <v>ICTVonline=20175777</v>
      </c>
      <c r="L2807" s="3">
        <v>2806</v>
      </c>
    </row>
    <row r="2808" spans="1:12" x14ac:dyDescent="0.15">
      <c r="A2808" s="1" t="s">
        <v>908</v>
      </c>
      <c r="B2808" s="1" t="s">
        <v>1655</v>
      </c>
      <c r="D2808" s="1" t="s">
        <v>4256</v>
      </c>
      <c r="E2808" s="1" t="s">
        <v>4257</v>
      </c>
      <c r="F2808" s="3">
        <v>0</v>
      </c>
      <c r="G2808" s="8" t="s">
        <v>2776</v>
      </c>
      <c r="H2808" s="8" t="s">
        <v>5160</v>
      </c>
      <c r="I2808" s="3">
        <v>31</v>
      </c>
      <c r="J2808" s="3" t="s">
        <v>6074</v>
      </c>
      <c r="K2808" s="17" t="str">
        <f>HYPERLINK("http://ictvonline.org/taxonomyHistory.asp?taxnode_id=20173045","ICTVonline=20173045")</f>
        <v>ICTVonline=20173045</v>
      </c>
      <c r="L2808" s="3">
        <v>2807</v>
      </c>
    </row>
    <row r="2809" spans="1:12" x14ac:dyDescent="0.15">
      <c r="A2809" s="1" t="s">
        <v>908</v>
      </c>
      <c r="B2809" s="1" t="s">
        <v>1655</v>
      </c>
      <c r="D2809" s="1" t="s">
        <v>4256</v>
      </c>
      <c r="E2809" s="1" t="s">
        <v>4258</v>
      </c>
      <c r="F2809" s="3">
        <v>0</v>
      </c>
      <c r="G2809" s="8" t="s">
        <v>2776</v>
      </c>
      <c r="H2809" s="8" t="s">
        <v>5160</v>
      </c>
      <c r="I2809" s="3">
        <v>31</v>
      </c>
      <c r="J2809" s="3" t="s">
        <v>6074</v>
      </c>
      <c r="K2809" s="17" t="str">
        <f>HYPERLINK("http://ictvonline.org/taxonomyHistory.asp?taxnode_id=20173046","ICTVonline=20173046")</f>
        <v>ICTVonline=20173046</v>
      </c>
      <c r="L2809" s="3">
        <v>2808</v>
      </c>
    </row>
    <row r="2810" spans="1:12" x14ac:dyDescent="0.15">
      <c r="A2810" s="1" t="s">
        <v>908</v>
      </c>
      <c r="B2810" s="1" t="s">
        <v>1655</v>
      </c>
      <c r="D2810" s="1" t="s">
        <v>4256</v>
      </c>
      <c r="E2810" s="1" t="s">
        <v>4901</v>
      </c>
      <c r="F2810" s="3">
        <v>0</v>
      </c>
      <c r="G2810" s="8" t="s">
        <v>2776</v>
      </c>
      <c r="H2810" s="8" t="s">
        <v>5159</v>
      </c>
      <c r="I2810" s="3">
        <v>31</v>
      </c>
      <c r="J2810" s="3" t="s">
        <v>6075</v>
      </c>
      <c r="K2810" s="17" t="str">
        <f>HYPERLINK("http://ictvonline.org/taxonomyHistory.asp?taxnode_id=20173047","ICTVonline=20173047")</f>
        <v>ICTVonline=20173047</v>
      </c>
      <c r="L2810" s="3">
        <v>2809</v>
      </c>
    </row>
    <row r="2811" spans="1:12" x14ac:dyDescent="0.15">
      <c r="A2811" s="1" t="s">
        <v>908</v>
      </c>
      <c r="B2811" s="1" t="s">
        <v>1655</v>
      </c>
      <c r="D2811" s="1" t="s">
        <v>4256</v>
      </c>
      <c r="E2811" s="1" t="s">
        <v>4902</v>
      </c>
      <c r="F2811" s="3">
        <v>0</v>
      </c>
      <c r="G2811" s="8" t="s">
        <v>2776</v>
      </c>
      <c r="H2811" s="8" t="s">
        <v>5159</v>
      </c>
      <c r="I2811" s="3">
        <v>31</v>
      </c>
      <c r="J2811" s="3" t="s">
        <v>6075</v>
      </c>
      <c r="K2811" s="17" t="str">
        <f>HYPERLINK("http://ictvonline.org/taxonomyHistory.asp?taxnode_id=20173048","ICTVonline=20173048")</f>
        <v>ICTVonline=20173048</v>
      </c>
      <c r="L2811" s="3">
        <v>2810</v>
      </c>
    </row>
    <row r="2812" spans="1:12" x14ac:dyDescent="0.15">
      <c r="A2812" s="1" t="s">
        <v>908</v>
      </c>
      <c r="B2812" s="1" t="s">
        <v>1655</v>
      </c>
      <c r="D2812" s="1" t="s">
        <v>4256</v>
      </c>
      <c r="E2812" s="1" t="s">
        <v>4903</v>
      </c>
      <c r="F2812" s="3">
        <v>0</v>
      </c>
      <c r="G2812" s="8" t="s">
        <v>2776</v>
      </c>
      <c r="H2812" s="8" t="s">
        <v>5159</v>
      </c>
      <c r="I2812" s="3">
        <v>31</v>
      </c>
      <c r="J2812" s="3" t="s">
        <v>6075</v>
      </c>
      <c r="K2812" s="17" t="str">
        <f>HYPERLINK("http://ictvonline.org/taxonomyHistory.asp?taxnode_id=20173049","ICTVonline=20173049")</f>
        <v>ICTVonline=20173049</v>
      </c>
      <c r="L2812" s="3">
        <v>2811</v>
      </c>
    </row>
    <row r="2813" spans="1:12" x14ac:dyDescent="0.15">
      <c r="A2813" s="1" t="s">
        <v>908</v>
      </c>
      <c r="B2813" s="1" t="s">
        <v>1655</v>
      </c>
      <c r="D2813" s="1" t="s">
        <v>4256</v>
      </c>
      <c r="E2813" s="1" t="s">
        <v>4259</v>
      </c>
      <c r="F2813" s="3">
        <v>0</v>
      </c>
      <c r="G2813" s="8" t="s">
        <v>2776</v>
      </c>
      <c r="H2813" s="8" t="s">
        <v>5160</v>
      </c>
      <c r="I2813" s="3">
        <v>31</v>
      </c>
      <c r="J2813" s="3" t="s">
        <v>6074</v>
      </c>
      <c r="K2813" s="17" t="str">
        <f>HYPERLINK("http://ictvonline.org/taxonomyHistory.asp?taxnode_id=20173050","ICTVonline=20173050")</f>
        <v>ICTVonline=20173050</v>
      </c>
      <c r="L2813" s="3">
        <v>2812</v>
      </c>
    </row>
    <row r="2814" spans="1:12" x14ac:dyDescent="0.15">
      <c r="A2814" s="1" t="s">
        <v>908</v>
      </c>
      <c r="B2814" s="1" t="s">
        <v>1655</v>
      </c>
      <c r="D2814" s="1" t="s">
        <v>4256</v>
      </c>
      <c r="E2814" s="1" t="s">
        <v>4904</v>
      </c>
      <c r="F2814" s="3">
        <v>0</v>
      </c>
      <c r="G2814" s="8" t="s">
        <v>2776</v>
      </c>
      <c r="H2814" s="8" t="s">
        <v>5159</v>
      </c>
      <c r="I2814" s="3">
        <v>31</v>
      </c>
      <c r="J2814" s="3" t="s">
        <v>6075</v>
      </c>
      <c r="K2814" s="17" t="str">
        <f>HYPERLINK("http://ictvonline.org/taxonomyHistory.asp?taxnode_id=20173051","ICTVonline=20173051")</f>
        <v>ICTVonline=20173051</v>
      </c>
      <c r="L2814" s="3">
        <v>2813</v>
      </c>
    </row>
    <row r="2815" spans="1:12" x14ac:dyDescent="0.15">
      <c r="A2815" s="1" t="s">
        <v>908</v>
      </c>
      <c r="B2815" s="1" t="s">
        <v>1655</v>
      </c>
      <c r="D2815" s="1" t="s">
        <v>4256</v>
      </c>
      <c r="E2815" s="1" t="s">
        <v>4905</v>
      </c>
      <c r="F2815" s="3">
        <v>0</v>
      </c>
      <c r="G2815" s="8" t="s">
        <v>2776</v>
      </c>
      <c r="H2815" s="8" t="s">
        <v>5159</v>
      </c>
      <c r="I2815" s="3">
        <v>31</v>
      </c>
      <c r="J2815" s="3" t="s">
        <v>6075</v>
      </c>
      <c r="K2815" s="17" t="str">
        <f>HYPERLINK("http://ictvonline.org/taxonomyHistory.asp?taxnode_id=20173052","ICTVonline=20173052")</f>
        <v>ICTVonline=20173052</v>
      </c>
      <c r="L2815" s="3">
        <v>2814</v>
      </c>
    </row>
    <row r="2816" spans="1:12" x14ac:dyDescent="0.15">
      <c r="A2816" s="1" t="s">
        <v>908</v>
      </c>
      <c r="B2816" s="1" t="s">
        <v>1655</v>
      </c>
      <c r="D2816" s="1" t="s">
        <v>4256</v>
      </c>
      <c r="E2816" s="1" t="s">
        <v>4906</v>
      </c>
      <c r="F2816" s="3">
        <v>0</v>
      </c>
      <c r="G2816" s="8" t="s">
        <v>2776</v>
      </c>
      <c r="H2816" s="8" t="s">
        <v>5159</v>
      </c>
      <c r="I2816" s="3">
        <v>31</v>
      </c>
      <c r="J2816" s="3" t="s">
        <v>6075</v>
      </c>
      <c r="K2816" s="17" t="str">
        <f>HYPERLINK("http://ictvonline.org/taxonomyHistory.asp?taxnode_id=20173053","ICTVonline=20173053")</f>
        <v>ICTVonline=20173053</v>
      </c>
      <c r="L2816" s="3">
        <v>2815</v>
      </c>
    </row>
    <row r="2817" spans="1:12" x14ac:dyDescent="0.15">
      <c r="A2817" s="1" t="s">
        <v>908</v>
      </c>
      <c r="B2817" s="1" t="s">
        <v>1655</v>
      </c>
      <c r="D2817" s="1" t="s">
        <v>4256</v>
      </c>
      <c r="E2817" s="1" t="s">
        <v>4260</v>
      </c>
      <c r="F2817" s="3">
        <v>0</v>
      </c>
      <c r="G2817" s="8" t="s">
        <v>2776</v>
      </c>
      <c r="H2817" s="8" t="s">
        <v>5160</v>
      </c>
      <c r="I2817" s="3">
        <v>31</v>
      </c>
      <c r="J2817" s="3" t="s">
        <v>6074</v>
      </c>
      <c r="K2817" s="17" t="str">
        <f>HYPERLINK("http://ictvonline.org/taxonomyHistory.asp?taxnode_id=20173054","ICTVonline=20173054")</f>
        <v>ICTVonline=20173054</v>
      </c>
      <c r="L2817" s="3">
        <v>2816</v>
      </c>
    </row>
    <row r="2818" spans="1:12" x14ac:dyDescent="0.15">
      <c r="A2818" s="1" t="s">
        <v>908</v>
      </c>
      <c r="B2818" s="1" t="s">
        <v>1655</v>
      </c>
      <c r="D2818" s="1" t="s">
        <v>4256</v>
      </c>
      <c r="E2818" s="1" t="s">
        <v>4261</v>
      </c>
      <c r="F2818" s="3">
        <v>1</v>
      </c>
      <c r="G2818" s="8" t="s">
        <v>2776</v>
      </c>
      <c r="H2818" s="8" t="s">
        <v>5160</v>
      </c>
      <c r="I2818" s="3">
        <v>31</v>
      </c>
      <c r="J2818" s="3" t="s">
        <v>6074</v>
      </c>
      <c r="K2818" s="17" t="str">
        <f>HYPERLINK("http://ictvonline.org/taxonomyHistory.asp?taxnode_id=20173055","ICTVonline=20173055")</f>
        <v>ICTVonline=20173055</v>
      </c>
      <c r="L2818" s="3">
        <v>2817</v>
      </c>
    </row>
    <row r="2819" spans="1:12" x14ac:dyDescent="0.15">
      <c r="A2819" s="1" t="s">
        <v>908</v>
      </c>
      <c r="B2819" s="1" t="s">
        <v>1655</v>
      </c>
      <c r="D2819" s="1" t="s">
        <v>4256</v>
      </c>
      <c r="E2819" s="1" t="s">
        <v>4262</v>
      </c>
      <c r="F2819" s="3">
        <v>0</v>
      </c>
      <c r="G2819" s="8" t="s">
        <v>2776</v>
      </c>
      <c r="H2819" s="8" t="s">
        <v>5160</v>
      </c>
      <c r="I2819" s="3">
        <v>31</v>
      </c>
      <c r="J2819" s="3" t="s">
        <v>6074</v>
      </c>
      <c r="K2819" s="17" t="str">
        <f>HYPERLINK("http://ictvonline.org/taxonomyHistory.asp?taxnode_id=20173056","ICTVonline=20173056")</f>
        <v>ICTVonline=20173056</v>
      </c>
      <c r="L2819" s="3">
        <v>2818</v>
      </c>
    </row>
    <row r="2820" spans="1:12" x14ac:dyDescent="0.15">
      <c r="A2820" s="1" t="s">
        <v>908</v>
      </c>
      <c r="B2820" s="1" t="s">
        <v>1655</v>
      </c>
      <c r="D2820" s="1" t="s">
        <v>4256</v>
      </c>
      <c r="E2820" s="1" t="s">
        <v>4263</v>
      </c>
      <c r="F2820" s="3">
        <v>0</v>
      </c>
      <c r="G2820" s="8" t="s">
        <v>2776</v>
      </c>
      <c r="H2820" s="8" t="s">
        <v>5160</v>
      </c>
      <c r="I2820" s="3">
        <v>31</v>
      </c>
      <c r="J2820" s="3" t="s">
        <v>6074</v>
      </c>
      <c r="K2820" s="17" t="str">
        <f>HYPERLINK("http://ictvonline.org/taxonomyHistory.asp?taxnode_id=20173057","ICTVonline=20173057")</f>
        <v>ICTVonline=20173057</v>
      </c>
      <c r="L2820" s="3">
        <v>2819</v>
      </c>
    </row>
    <row r="2821" spans="1:12" x14ac:dyDescent="0.15">
      <c r="A2821" s="1" t="s">
        <v>908</v>
      </c>
      <c r="B2821" s="1" t="s">
        <v>1655</v>
      </c>
      <c r="D2821" s="1" t="s">
        <v>4256</v>
      </c>
      <c r="E2821" s="1" t="s">
        <v>4264</v>
      </c>
      <c r="F2821" s="3">
        <v>0</v>
      </c>
      <c r="G2821" s="8" t="s">
        <v>2776</v>
      </c>
      <c r="H2821" s="8" t="s">
        <v>5160</v>
      </c>
      <c r="I2821" s="3">
        <v>31</v>
      </c>
      <c r="J2821" s="3" t="s">
        <v>6074</v>
      </c>
      <c r="K2821" s="17" t="str">
        <f>HYPERLINK("http://ictvonline.org/taxonomyHistory.asp?taxnode_id=20173058","ICTVonline=20173058")</f>
        <v>ICTVonline=20173058</v>
      </c>
      <c r="L2821" s="3">
        <v>2820</v>
      </c>
    </row>
    <row r="2822" spans="1:12" x14ac:dyDescent="0.15">
      <c r="A2822" s="1" t="s">
        <v>908</v>
      </c>
      <c r="B2822" s="1" t="s">
        <v>1655</v>
      </c>
      <c r="D2822" s="1" t="s">
        <v>4256</v>
      </c>
      <c r="E2822" s="1" t="s">
        <v>4265</v>
      </c>
      <c r="F2822" s="3">
        <v>0</v>
      </c>
      <c r="G2822" s="8" t="s">
        <v>2776</v>
      </c>
      <c r="H2822" s="8" t="s">
        <v>5160</v>
      </c>
      <c r="I2822" s="3">
        <v>31</v>
      </c>
      <c r="J2822" s="3" t="s">
        <v>6074</v>
      </c>
      <c r="K2822" s="17" t="str">
        <f>HYPERLINK("http://ictvonline.org/taxonomyHistory.asp?taxnode_id=20173059","ICTVonline=20173059")</f>
        <v>ICTVonline=20173059</v>
      </c>
      <c r="L2822" s="3">
        <v>2821</v>
      </c>
    </row>
    <row r="2823" spans="1:12" x14ac:dyDescent="0.15">
      <c r="A2823" s="1" t="s">
        <v>908</v>
      </c>
      <c r="B2823" s="1" t="s">
        <v>1655</v>
      </c>
      <c r="D2823" s="1" t="s">
        <v>4256</v>
      </c>
      <c r="E2823" s="1" t="s">
        <v>4907</v>
      </c>
      <c r="F2823" s="3">
        <v>0</v>
      </c>
      <c r="G2823" s="8" t="s">
        <v>2776</v>
      </c>
      <c r="H2823" s="8" t="s">
        <v>5159</v>
      </c>
      <c r="I2823" s="3">
        <v>31</v>
      </c>
      <c r="J2823" s="3" t="s">
        <v>6075</v>
      </c>
      <c r="K2823" s="17" t="str">
        <f>HYPERLINK("http://ictvonline.org/taxonomyHistory.asp?taxnode_id=20173060","ICTVonline=20173060")</f>
        <v>ICTVonline=20173060</v>
      </c>
      <c r="L2823" s="3">
        <v>2822</v>
      </c>
    </row>
    <row r="2824" spans="1:12" x14ac:dyDescent="0.15">
      <c r="A2824" s="1" t="s">
        <v>908</v>
      </c>
      <c r="B2824" s="1" t="s">
        <v>1655</v>
      </c>
      <c r="D2824" s="1" t="s">
        <v>4256</v>
      </c>
      <c r="E2824" s="1" t="s">
        <v>4266</v>
      </c>
      <c r="F2824" s="3">
        <v>0</v>
      </c>
      <c r="G2824" s="8" t="s">
        <v>2776</v>
      </c>
      <c r="H2824" s="8" t="s">
        <v>5160</v>
      </c>
      <c r="I2824" s="3">
        <v>31</v>
      </c>
      <c r="J2824" s="3" t="s">
        <v>6074</v>
      </c>
      <c r="K2824" s="17" t="str">
        <f>HYPERLINK("http://ictvonline.org/taxonomyHistory.asp?taxnode_id=20173061","ICTVonline=20173061")</f>
        <v>ICTVonline=20173061</v>
      </c>
      <c r="L2824" s="3">
        <v>2823</v>
      </c>
    </row>
    <row r="2825" spans="1:12" x14ac:dyDescent="0.15">
      <c r="A2825" s="1" t="s">
        <v>908</v>
      </c>
      <c r="B2825" s="1" t="s">
        <v>1655</v>
      </c>
      <c r="D2825" s="1" t="s">
        <v>4256</v>
      </c>
      <c r="E2825" s="1" t="s">
        <v>6076</v>
      </c>
      <c r="F2825" s="3">
        <v>0</v>
      </c>
      <c r="G2825" s="8" t="s">
        <v>2776</v>
      </c>
      <c r="H2825" s="8" t="s">
        <v>5159</v>
      </c>
      <c r="I2825" s="3">
        <v>32</v>
      </c>
      <c r="J2825" s="3" t="s">
        <v>6077</v>
      </c>
      <c r="K2825" s="17" t="str">
        <f>HYPERLINK("http://ictvonline.org/taxonomyHistory.asp?taxnode_id=20175778","ICTVonline=20175778")</f>
        <v>ICTVonline=20175778</v>
      </c>
      <c r="L2825" s="3">
        <v>2824</v>
      </c>
    </row>
    <row r="2826" spans="1:12" x14ac:dyDescent="0.15">
      <c r="A2826" s="1" t="s">
        <v>908</v>
      </c>
      <c r="B2826" s="1" t="s">
        <v>1655</v>
      </c>
      <c r="D2826" s="1" t="s">
        <v>4256</v>
      </c>
      <c r="E2826" s="1" t="s">
        <v>4267</v>
      </c>
      <c r="F2826" s="3">
        <v>0</v>
      </c>
      <c r="G2826" s="8" t="s">
        <v>2776</v>
      </c>
      <c r="H2826" s="8" t="s">
        <v>5160</v>
      </c>
      <c r="I2826" s="3">
        <v>31</v>
      </c>
      <c r="J2826" s="3" t="s">
        <v>6074</v>
      </c>
      <c r="K2826" s="17" t="str">
        <f>HYPERLINK("http://ictvonline.org/taxonomyHistory.asp?taxnode_id=20173062","ICTVonline=20173062")</f>
        <v>ICTVonline=20173062</v>
      </c>
      <c r="L2826" s="3">
        <v>2825</v>
      </c>
    </row>
    <row r="2827" spans="1:12" x14ac:dyDescent="0.15">
      <c r="A2827" s="1" t="s">
        <v>908</v>
      </c>
      <c r="B2827" s="1" t="s">
        <v>1655</v>
      </c>
      <c r="D2827" s="1" t="s">
        <v>4299</v>
      </c>
      <c r="E2827" s="1" t="s">
        <v>4908</v>
      </c>
      <c r="F2827" s="3">
        <v>0</v>
      </c>
      <c r="G2827" s="8" t="s">
        <v>2776</v>
      </c>
      <c r="H2827" s="8" t="s">
        <v>5159</v>
      </c>
      <c r="I2827" s="3">
        <v>31</v>
      </c>
      <c r="J2827" s="3" t="s">
        <v>6075</v>
      </c>
      <c r="K2827" s="17" t="str">
        <f>HYPERLINK("http://ictvonline.org/taxonomyHistory.asp?taxnode_id=20173064","ICTVonline=20173064")</f>
        <v>ICTVonline=20173064</v>
      </c>
      <c r="L2827" s="3">
        <v>2826</v>
      </c>
    </row>
    <row r="2828" spans="1:12" x14ac:dyDescent="0.15">
      <c r="A2828" s="1" t="s">
        <v>908</v>
      </c>
      <c r="B2828" s="1" t="s">
        <v>1655</v>
      </c>
      <c r="D2828" s="1" t="s">
        <v>4299</v>
      </c>
      <c r="E2828" s="1" t="s">
        <v>6078</v>
      </c>
      <c r="F2828" s="3">
        <v>0</v>
      </c>
      <c r="G2828" s="8" t="s">
        <v>2776</v>
      </c>
      <c r="H2828" s="8" t="s">
        <v>5159</v>
      </c>
      <c r="I2828" s="3">
        <v>32</v>
      </c>
      <c r="J2828" s="3" t="s">
        <v>6077</v>
      </c>
      <c r="K2828" s="17" t="str">
        <f>HYPERLINK("http://ictvonline.org/taxonomyHistory.asp?taxnode_id=20175779","ICTVonline=20175779")</f>
        <v>ICTVonline=20175779</v>
      </c>
      <c r="L2828" s="3">
        <v>2827</v>
      </c>
    </row>
    <row r="2829" spans="1:12" x14ac:dyDescent="0.15">
      <c r="A2829" s="1" t="s">
        <v>908</v>
      </c>
      <c r="B2829" s="1" t="s">
        <v>1655</v>
      </c>
      <c r="D2829" s="1" t="s">
        <v>4299</v>
      </c>
      <c r="E2829" s="1" t="s">
        <v>4909</v>
      </c>
      <c r="F2829" s="3">
        <v>0</v>
      </c>
      <c r="G2829" s="8" t="s">
        <v>2776</v>
      </c>
      <c r="H2829" s="8" t="s">
        <v>5159</v>
      </c>
      <c r="I2829" s="3">
        <v>31</v>
      </c>
      <c r="J2829" s="3" t="s">
        <v>6075</v>
      </c>
      <c r="K2829" s="17" t="str">
        <f>HYPERLINK("http://ictvonline.org/taxonomyHistory.asp?taxnode_id=20173065","ICTVonline=20173065")</f>
        <v>ICTVonline=20173065</v>
      </c>
      <c r="L2829" s="3">
        <v>2828</v>
      </c>
    </row>
    <row r="2830" spans="1:12" x14ac:dyDescent="0.15">
      <c r="A2830" s="1" t="s">
        <v>908</v>
      </c>
      <c r="B2830" s="1" t="s">
        <v>1655</v>
      </c>
      <c r="D2830" s="1" t="s">
        <v>4299</v>
      </c>
      <c r="E2830" s="1" t="s">
        <v>4300</v>
      </c>
      <c r="F2830" s="3">
        <v>1</v>
      </c>
      <c r="G2830" s="8" t="s">
        <v>2776</v>
      </c>
      <c r="H2830" s="8" t="s">
        <v>5160</v>
      </c>
      <c r="I2830" s="3">
        <v>31</v>
      </c>
      <c r="J2830" s="3" t="s">
        <v>6074</v>
      </c>
      <c r="K2830" s="17" t="str">
        <f>HYPERLINK("http://ictvonline.org/taxonomyHistory.asp?taxnode_id=20173066","ICTVonline=20173066")</f>
        <v>ICTVonline=20173066</v>
      </c>
      <c r="L2830" s="3">
        <v>2829</v>
      </c>
    </row>
    <row r="2831" spans="1:12" x14ac:dyDescent="0.15">
      <c r="A2831" s="1" t="s">
        <v>908</v>
      </c>
      <c r="B2831" s="1" t="s">
        <v>1655</v>
      </c>
      <c r="D2831" s="1" t="s">
        <v>4299</v>
      </c>
      <c r="E2831" s="1" t="s">
        <v>4910</v>
      </c>
      <c r="F2831" s="3">
        <v>0</v>
      </c>
      <c r="G2831" s="8" t="s">
        <v>2776</v>
      </c>
      <c r="H2831" s="8" t="s">
        <v>5159</v>
      </c>
      <c r="I2831" s="3">
        <v>31</v>
      </c>
      <c r="J2831" s="3" t="s">
        <v>6075</v>
      </c>
      <c r="K2831" s="17" t="str">
        <f>HYPERLINK("http://ictvonline.org/taxonomyHistory.asp?taxnode_id=20173067","ICTVonline=20173067")</f>
        <v>ICTVonline=20173067</v>
      </c>
      <c r="L2831" s="3">
        <v>2830</v>
      </c>
    </row>
    <row r="2832" spans="1:12" x14ac:dyDescent="0.15">
      <c r="A2832" s="1" t="s">
        <v>908</v>
      </c>
      <c r="B2832" s="1" t="s">
        <v>1142</v>
      </c>
      <c r="D2832" s="1" t="s">
        <v>1143</v>
      </c>
      <c r="E2832" s="1" t="s">
        <v>1144</v>
      </c>
      <c r="F2832" s="3">
        <v>0</v>
      </c>
      <c r="G2832" s="8" t="s">
        <v>2773</v>
      </c>
      <c r="H2832" s="8" t="s">
        <v>5161</v>
      </c>
      <c r="I2832" s="3">
        <v>9</v>
      </c>
      <c r="J2832" s="3" t="s">
        <v>6079</v>
      </c>
      <c r="K2832" s="17" t="str">
        <f>HYPERLINK("http://ictvonline.org/taxonomyHistory.asp?taxnode_id=20173071","ICTVonline=20173071")</f>
        <v>ICTVonline=20173071</v>
      </c>
      <c r="L2832" s="3">
        <v>2831</v>
      </c>
    </row>
    <row r="2833" spans="1:12" x14ac:dyDescent="0.15">
      <c r="A2833" s="1" t="s">
        <v>908</v>
      </c>
      <c r="B2833" s="1" t="s">
        <v>1142</v>
      </c>
      <c r="D2833" s="1" t="s">
        <v>1143</v>
      </c>
      <c r="E2833" s="1" t="s">
        <v>1145</v>
      </c>
      <c r="F2833" s="3">
        <v>0</v>
      </c>
      <c r="G2833" s="8" t="s">
        <v>2773</v>
      </c>
      <c r="H2833" s="8" t="s">
        <v>5159</v>
      </c>
      <c r="I2833" s="3">
        <v>18</v>
      </c>
      <c r="J2833" s="3" t="s">
        <v>5597</v>
      </c>
      <c r="K2833" s="17" t="str">
        <f>HYPERLINK("http://ictvonline.org/taxonomyHistory.asp?taxnode_id=20173072","ICTVonline=20173072")</f>
        <v>ICTVonline=20173072</v>
      </c>
      <c r="L2833" s="3">
        <v>2832</v>
      </c>
    </row>
    <row r="2834" spans="1:12" x14ac:dyDescent="0.15">
      <c r="A2834" s="1" t="s">
        <v>908</v>
      </c>
      <c r="B2834" s="1" t="s">
        <v>1142</v>
      </c>
      <c r="D2834" s="1" t="s">
        <v>1143</v>
      </c>
      <c r="E2834" s="1" t="s">
        <v>1146</v>
      </c>
      <c r="F2834" s="3">
        <v>0</v>
      </c>
      <c r="G2834" s="8" t="s">
        <v>2773</v>
      </c>
      <c r="H2834" s="8" t="s">
        <v>5161</v>
      </c>
      <c r="I2834" s="3">
        <v>9</v>
      </c>
      <c r="J2834" s="3" t="s">
        <v>6079</v>
      </c>
      <c r="K2834" s="17" t="str">
        <f>HYPERLINK("http://ictvonline.org/taxonomyHistory.asp?taxnode_id=20173073","ICTVonline=20173073")</f>
        <v>ICTVonline=20173073</v>
      </c>
      <c r="L2834" s="3">
        <v>2833</v>
      </c>
    </row>
    <row r="2835" spans="1:12" x14ac:dyDescent="0.15">
      <c r="A2835" s="1" t="s">
        <v>908</v>
      </c>
      <c r="B2835" s="1" t="s">
        <v>1142</v>
      </c>
      <c r="D2835" s="1" t="s">
        <v>1143</v>
      </c>
      <c r="E2835" s="1" t="s">
        <v>1147</v>
      </c>
      <c r="F2835" s="3">
        <v>0</v>
      </c>
      <c r="G2835" s="8" t="s">
        <v>2773</v>
      </c>
      <c r="H2835" s="8" t="s">
        <v>5161</v>
      </c>
      <c r="I2835" s="3">
        <v>9</v>
      </c>
      <c r="J2835" s="3" t="s">
        <v>6079</v>
      </c>
      <c r="K2835" s="17" t="str">
        <f>HYPERLINK("http://ictvonline.org/taxonomyHistory.asp?taxnode_id=20173074","ICTVonline=20173074")</f>
        <v>ICTVonline=20173074</v>
      </c>
      <c r="L2835" s="3">
        <v>2834</v>
      </c>
    </row>
    <row r="2836" spans="1:12" x14ac:dyDescent="0.15">
      <c r="A2836" s="1" t="s">
        <v>908</v>
      </c>
      <c r="B2836" s="1" t="s">
        <v>1142</v>
      </c>
      <c r="D2836" s="1" t="s">
        <v>1143</v>
      </c>
      <c r="E2836" s="1" t="s">
        <v>1148</v>
      </c>
      <c r="F2836" s="3">
        <v>0</v>
      </c>
      <c r="G2836" s="8" t="s">
        <v>2773</v>
      </c>
      <c r="H2836" s="8" t="s">
        <v>5161</v>
      </c>
      <c r="I2836" s="3">
        <v>9</v>
      </c>
      <c r="J2836" s="3" t="s">
        <v>6079</v>
      </c>
      <c r="K2836" s="17" t="str">
        <f>HYPERLINK("http://ictvonline.org/taxonomyHistory.asp?taxnode_id=20173075","ICTVonline=20173075")</f>
        <v>ICTVonline=20173075</v>
      </c>
      <c r="L2836" s="3">
        <v>2835</v>
      </c>
    </row>
    <row r="2837" spans="1:12" x14ac:dyDescent="0.15">
      <c r="A2837" s="1" t="s">
        <v>908</v>
      </c>
      <c r="B2837" s="1" t="s">
        <v>1142</v>
      </c>
      <c r="D2837" s="1" t="s">
        <v>1143</v>
      </c>
      <c r="E2837" s="1" t="s">
        <v>1149</v>
      </c>
      <c r="F2837" s="3">
        <v>0</v>
      </c>
      <c r="G2837" s="8" t="s">
        <v>2773</v>
      </c>
      <c r="H2837" s="8" t="s">
        <v>5161</v>
      </c>
      <c r="I2837" s="3">
        <v>9</v>
      </c>
      <c r="J2837" s="3" t="s">
        <v>6079</v>
      </c>
      <c r="K2837" s="17" t="str">
        <f>HYPERLINK("http://ictvonline.org/taxonomyHistory.asp?taxnode_id=20173076","ICTVonline=20173076")</f>
        <v>ICTVonline=20173076</v>
      </c>
      <c r="L2837" s="3">
        <v>2836</v>
      </c>
    </row>
    <row r="2838" spans="1:12" x14ac:dyDescent="0.15">
      <c r="A2838" s="1" t="s">
        <v>908</v>
      </c>
      <c r="B2838" s="1" t="s">
        <v>1142</v>
      </c>
      <c r="D2838" s="1" t="s">
        <v>1143</v>
      </c>
      <c r="E2838" s="1" t="s">
        <v>1660</v>
      </c>
      <c r="F2838" s="3">
        <v>0</v>
      </c>
      <c r="G2838" s="8" t="s">
        <v>2773</v>
      </c>
      <c r="H2838" s="8" t="s">
        <v>5159</v>
      </c>
      <c r="I2838" s="3">
        <v>18</v>
      </c>
      <c r="J2838" s="3" t="s">
        <v>5597</v>
      </c>
      <c r="K2838" s="17" t="str">
        <f>HYPERLINK("http://ictvonline.org/taxonomyHistory.asp?taxnode_id=20173077","ICTVonline=20173077")</f>
        <v>ICTVonline=20173077</v>
      </c>
      <c r="L2838" s="3">
        <v>2837</v>
      </c>
    </row>
    <row r="2839" spans="1:12" x14ac:dyDescent="0.15">
      <c r="A2839" s="1" t="s">
        <v>908</v>
      </c>
      <c r="B2839" s="1" t="s">
        <v>1142</v>
      </c>
      <c r="D2839" s="1" t="s">
        <v>1143</v>
      </c>
      <c r="E2839" s="1" t="s">
        <v>1661</v>
      </c>
      <c r="F2839" s="3">
        <v>0</v>
      </c>
      <c r="G2839" s="8" t="s">
        <v>2773</v>
      </c>
      <c r="H2839" s="8" t="s">
        <v>5161</v>
      </c>
      <c r="I2839" s="3">
        <v>9</v>
      </c>
      <c r="J2839" s="3" t="s">
        <v>6079</v>
      </c>
      <c r="K2839" s="17" t="str">
        <f>HYPERLINK("http://ictvonline.org/taxonomyHistory.asp?taxnode_id=20173078","ICTVonline=20173078")</f>
        <v>ICTVonline=20173078</v>
      </c>
      <c r="L2839" s="3">
        <v>2838</v>
      </c>
    </row>
    <row r="2840" spans="1:12" x14ac:dyDescent="0.15">
      <c r="A2840" s="1" t="s">
        <v>908</v>
      </c>
      <c r="B2840" s="1" t="s">
        <v>1142</v>
      </c>
      <c r="D2840" s="1" t="s">
        <v>1143</v>
      </c>
      <c r="E2840" s="1" t="s">
        <v>1662</v>
      </c>
      <c r="F2840" s="3">
        <v>0</v>
      </c>
      <c r="G2840" s="8" t="s">
        <v>2773</v>
      </c>
      <c r="H2840" s="8" t="s">
        <v>5161</v>
      </c>
      <c r="I2840" s="3">
        <v>9</v>
      </c>
      <c r="J2840" s="3" t="s">
        <v>6079</v>
      </c>
      <c r="K2840" s="17" t="str">
        <f>HYPERLINK("http://ictvonline.org/taxonomyHistory.asp?taxnode_id=20173079","ICTVonline=20173079")</f>
        <v>ICTVonline=20173079</v>
      </c>
      <c r="L2840" s="3">
        <v>2839</v>
      </c>
    </row>
    <row r="2841" spans="1:12" x14ac:dyDescent="0.15">
      <c r="A2841" s="1" t="s">
        <v>908</v>
      </c>
      <c r="B2841" s="1" t="s">
        <v>1142</v>
      </c>
      <c r="D2841" s="1" t="s">
        <v>1143</v>
      </c>
      <c r="E2841" s="1" t="s">
        <v>1663</v>
      </c>
      <c r="F2841" s="3">
        <v>0</v>
      </c>
      <c r="G2841" s="8" t="s">
        <v>2773</v>
      </c>
      <c r="H2841" s="8" t="s">
        <v>5161</v>
      </c>
      <c r="I2841" s="3">
        <v>9</v>
      </c>
      <c r="J2841" s="3" t="s">
        <v>6079</v>
      </c>
      <c r="K2841" s="17" t="str">
        <f>HYPERLINK("http://ictvonline.org/taxonomyHistory.asp?taxnode_id=20173080","ICTVonline=20173080")</f>
        <v>ICTVonline=20173080</v>
      </c>
      <c r="L2841" s="3">
        <v>2840</v>
      </c>
    </row>
    <row r="2842" spans="1:12" x14ac:dyDescent="0.15">
      <c r="A2842" s="1" t="s">
        <v>908</v>
      </c>
      <c r="B2842" s="1" t="s">
        <v>1142</v>
      </c>
      <c r="D2842" s="1" t="s">
        <v>1143</v>
      </c>
      <c r="E2842" s="1" t="s">
        <v>1664</v>
      </c>
      <c r="F2842" s="3">
        <v>0</v>
      </c>
      <c r="G2842" s="8" t="s">
        <v>2773</v>
      </c>
      <c r="H2842" s="8" t="s">
        <v>5168</v>
      </c>
      <c r="I2842" s="3">
        <v>18</v>
      </c>
      <c r="J2842" s="3" t="s">
        <v>5597</v>
      </c>
      <c r="K2842" s="17" t="str">
        <f>HYPERLINK("http://ictvonline.org/taxonomyHistory.asp?taxnode_id=20173081","ICTVonline=20173081")</f>
        <v>ICTVonline=20173081</v>
      </c>
      <c r="L2842" s="3">
        <v>2841</v>
      </c>
    </row>
    <row r="2843" spans="1:12" x14ac:dyDescent="0.15">
      <c r="A2843" s="1" t="s">
        <v>908</v>
      </c>
      <c r="B2843" s="1" t="s">
        <v>1142</v>
      </c>
      <c r="D2843" s="1" t="s">
        <v>1143</v>
      </c>
      <c r="E2843" s="1" t="s">
        <v>1665</v>
      </c>
      <c r="F2843" s="3">
        <v>0</v>
      </c>
      <c r="G2843" s="8" t="s">
        <v>2773</v>
      </c>
      <c r="H2843" s="8" t="s">
        <v>5162</v>
      </c>
      <c r="I2843" s="3">
        <v>12</v>
      </c>
      <c r="J2843" s="3" t="s">
        <v>6080</v>
      </c>
      <c r="K2843" s="17" t="str">
        <f>HYPERLINK("http://ictvonline.org/taxonomyHistory.asp?taxnode_id=20173082","ICTVonline=20173082")</f>
        <v>ICTVonline=20173082</v>
      </c>
      <c r="L2843" s="3">
        <v>2842</v>
      </c>
    </row>
    <row r="2844" spans="1:12" x14ac:dyDescent="0.15">
      <c r="A2844" s="1" t="s">
        <v>908</v>
      </c>
      <c r="B2844" s="1" t="s">
        <v>1142</v>
      </c>
      <c r="D2844" s="1" t="s">
        <v>1143</v>
      </c>
      <c r="E2844" s="1" t="s">
        <v>1666</v>
      </c>
      <c r="F2844" s="3">
        <v>0</v>
      </c>
      <c r="G2844" s="8" t="s">
        <v>2773</v>
      </c>
      <c r="H2844" s="8" t="s">
        <v>5161</v>
      </c>
      <c r="I2844" s="3">
        <v>9</v>
      </c>
      <c r="J2844" s="3" t="s">
        <v>6079</v>
      </c>
      <c r="K2844" s="17" t="str">
        <f>HYPERLINK("http://ictvonline.org/taxonomyHistory.asp?taxnode_id=20173083","ICTVonline=20173083")</f>
        <v>ICTVonline=20173083</v>
      </c>
      <c r="L2844" s="3">
        <v>2843</v>
      </c>
    </row>
    <row r="2845" spans="1:12" x14ac:dyDescent="0.15">
      <c r="A2845" s="1" t="s">
        <v>908</v>
      </c>
      <c r="B2845" s="1" t="s">
        <v>1142</v>
      </c>
      <c r="D2845" s="1" t="s">
        <v>1143</v>
      </c>
      <c r="E2845" s="1" t="s">
        <v>1667</v>
      </c>
      <c r="F2845" s="3">
        <v>0</v>
      </c>
      <c r="G2845" s="8" t="s">
        <v>2773</v>
      </c>
      <c r="H2845" s="8" t="s">
        <v>5159</v>
      </c>
      <c r="I2845" s="3">
        <v>18</v>
      </c>
      <c r="J2845" s="3" t="s">
        <v>5597</v>
      </c>
      <c r="K2845" s="17" t="str">
        <f>HYPERLINK("http://ictvonline.org/taxonomyHistory.asp?taxnode_id=20173084","ICTVonline=20173084")</f>
        <v>ICTVonline=20173084</v>
      </c>
      <c r="L2845" s="3">
        <v>2844</v>
      </c>
    </row>
    <row r="2846" spans="1:12" x14ac:dyDescent="0.15">
      <c r="A2846" s="1" t="s">
        <v>908</v>
      </c>
      <c r="B2846" s="1" t="s">
        <v>1142</v>
      </c>
      <c r="D2846" s="1" t="s">
        <v>1143</v>
      </c>
      <c r="E2846" s="1" t="s">
        <v>1668</v>
      </c>
      <c r="F2846" s="3">
        <v>0</v>
      </c>
      <c r="G2846" s="8" t="s">
        <v>2773</v>
      </c>
      <c r="H2846" s="8" t="s">
        <v>5159</v>
      </c>
      <c r="I2846" s="3">
        <v>18</v>
      </c>
      <c r="J2846" s="3" t="s">
        <v>5597</v>
      </c>
      <c r="K2846" s="17" t="str">
        <f>HYPERLINK("http://ictvonline.org/taxonomyHistory.asp?taxnode_id=20173085","ICTVonline=20173085")</f>
        <v>ICTVonline=20173085</v>
      </c>
      <c r="L2846" s="3">
        <v>2845</v>
      </c>
    </row>
    <row r="2847" spans="1:12" x14ac:dyDescent="0.15">
      <c r="A2847" s="1" t="s">
        <v>908</v>
      </c>
      <c r="B2847" s="1" t="s">
        <v>1142</v>
      </c>
      <c r="D2847" s="1" t="s">
        <v>1143</v>
      </c>
      <c r="E2847" s="1" t="s">
        <v>1669</v>
      </c>
      <c r="F2847" s="3">
        <v>0</v>
      </c>
      <c r="G2847" s="8" t="s">
        <v>2773</v>
      </c>
      <c r="H2847" s="8" t="s">
        <v>5162</v>
      </c>
      <c r="I2847" s="3">
        <v>18</v>
      </c>
      <c r="J2847" s="3" t="s">
        <v>5597</v>
      </c>
      <c r="K2847" s="17" t="str">
        <f>HYPERLINK("http://ictvonline.org/taxonomyHistory.asp?taxnode_id=20173086","ICTVonline=20173086")</f>
        <v>ICTVonline=20173086</v>
      </c>
      <c r="L2847" s="3">
        <v>2846</v>
      </c>
    </row>
    <row r="2848" spans="1:12" x14ac:dyDescent="0.15">
      <c r="A2848" s="1" t="s">
        <v>908</v>
      </c>
      <c r="B2848" s="1" t="s">
        <v>1142</v>
      </c>
      <c r="D2848" s="1" t="s">
        <v>1143</v>
      </c>
      <c r="E2848" s="1" t="s">
        <v>1670</v>
      </c>
      <c r="F2848" s="3">
        <v>0</v>
      </c>
      <c r="G2848" s="8" t="s">
        <v>2773</v>
      </c>
      <c r="H2848" s="8" t="s">
        <v>5161</v>
      </c>
      <c r="I2848" s="3">
        <v>9</v>
      </c>
      <c r="J2848" s="3" t="s">
        <v>6079</v>
      </c>
      <c r="K2848" s="17" t="str">
        <f>HYPERLINK("http://ictvonline.org/taxonomyHistory.asp?taxnode_id=20173087","ICTVonline=20173087")</f>
        <v>ICTVonline=20173087</v>
      </c>
      <c r="L2848" s="3">
        <v>2847</v>
      </c>
    </row>
    <row r="2849" spans="1:12" x14ac:dyDescent="0.15">
      <c r="A2849" s="1" t="s">
        <v>908</v>
      </c>
      <c r="B2849" s="1" t="s">
        <v>1142</v>
      </c>
      <c r="D2849" s="1" t="s">
        <v>1143</v>
      </c>
      <c r="E2849" s="1" t="s">
        <v>1671</v>
      </c>
      <c r="F2849" s="3">
        <v>0</v>
      </c>
      <c r="G2849" s="8" t="s">
        <v>2773</v>
      </c>
      <c r="H2849" s="8" t="s">
        <v>5159</v>
      </c>
      <c r="I2849" s="3">
        <v>18</v>
      </c>
      <c r="J2849" s="3" t="s">
        <v>5597</v>
      </c>
      <c r="K2849" s="17" t="str">
        <f>HYPERLINK("http://ictvonline.org/taxonomyHistory.asp?taxnode_id=20173088","ICTVonline=20173088")</f>
        <v>ICTVonline=20173088</v>
      </c>
      <c r="L2849" s="3">
        <v>2848</v>
      </c>
    </row>
    <row r="2850" spans="1:12" x14ac:dyDescent="0.15">
      <c r="A2850" s="1" t="s">
        <v>908</v>
      </c>
      <c r="B2850" s="1" t="s">
        <v>1142</v>
      </c>
      <c r="D2850" s="1" t="s">
        <v>1143</v>
      </c>
      <c r="E2850" s="1" t="s">
        <v>1672</v>
      </c>
      <c r="F2850" s="3">
        <v>0</v>
      </c>
      <c r="G2850" s="8" t="s">
        <v>2773</v>
      </c>
      <c r="H2850" s="8" t="s">
        <v>5161</v>
      </c>
      <c r="I2850" s="3">
        <v>9</v>
      </c>
      <c r="J2850" s="3" t="s">
        <v>6079</v>
      </c>
      <c r="K2850" s="17" t="str">
        <f>HYPERLINK("http://ictvonline.org/taxonomyHistory.asp?taxnode_id=20173089","ICTVonline=20173089")</f>
        <v>ICTVonline=20173089</v>
      </c>
      <c r="L2850" s="3">
        <v>2849</v>
      </c>
    </row>
    <row r="2851" spans="1:12" x14ac:dyDescent="0.15">
      <c r="A2851" s="1" t="s">
        <v>908</v>
      </c>
      <c r="B2851" s="1" t="s">
        <v>1142</v>
      </c>
      <c r="D2851" s="1" t="s">
        <v>1143</v>
      </c>
      <c r="E2851" s="1" t="s">
        <v>1673</v>
      </c>
      <c r="F2851" s="3">
        <v>0</v>
      </c>
      <c r="G2851" s="8" t="s">
        <v>2773</v>
      </c>
      <c r="H2851" s="8" t="s">
        <v>5159</v>
      </c>
      <c r="I2851" s="3">
        <v>18</v>
      </c>
      <c r="J2851" s="3" t="s">
        <v>5597</v>
      </c>
      <c r="K2851" s="17" t="str">
        <f>HYPERLINK("http://ictvonline.org/taxonomyHistory.asp?taxnode_id=20173090","ICTVonline=20173090")</f>
        <v>ICTVonline=20173090</v>
      </c>
      <c r="L2851" s="3">
        <v>2850</v>
      </c>
    </row>
    <row r="2852" spans="1:12" x14ac:dyDescent="0.15">
      <c r="A2852" s="1" t="s">
        <v>908</v>
      </c>
      <c r="B2852" s="1" t="s">
        <v>1142</v>
      </c>
      <c r="D2852" s="1" t="s">
        <v>1143</v>
      </c>
      <c r="E2852" s="1" t="s">
        <v>1674</v>
      </c>
      <c r="F2852" s="3">
        <v>0</v>
      </c>
      <c r="G2852" s="8" t="s">
        <v>2773</v>
      </c>
      <c r="H2852" s="8" t="s">
        <v>5159</v>
      </c>
      <c r="I2852" s="3">
        <v>18</v>
      </c>
      <c r="J2852" s="3" t="s">
        <v>5597</v>
      </c>
      <c r="K2852" s="17" t="str">
        <f>HYPERLINK("http://ictvonline.org/taxonomyHistory.asp?taxnode_id=20173091","ICTVonline=20173091")</f>
        <v>ICTVonline=20173091</v>
      </c>
      <c r="L2852" s="3">
        <v>2851</v>
      </c>
    </row>
    <row r="2853" spans="1:12" x14ac:dyDescent="0.15">
      <c r="A2853" s="1" t="s">
        <v>908</v>
      </c>
      <c r="B2853" s="1" t="s">
        <v>1142</v>
      </c>
      <c r="D2853" s="1" t="s">
        <v>1143</v>
      </c>
      <c r="E2853" s="1" t="s">
        <v>1675</v>
      </c>
      <c r="F2853" s="3">
        <v>0</v>
      </c>
      <c r="G2853" s="8" t="s">
        <v>2773</v>
      </c>
      <c r="H2853" s="8" t="s">
        <v>5168</v>
      </c>
      <c r="I2853" s="3">
        <v>18</v>
      </c>
      <c r="J2853" s="3" t="s">
        <v>5597</v>
      </c>
      <c r="K2853" s="17" t="str">
        <f>HYPERLINK("http://ictvonline.org/taxonomyHistory.asp?taxnode_id=20173092","ICTVonline=20173092")</f>
        <v>ICTVonline=20173092</v>
      </c>
      <c r="L2853" s="3">
        <v>2852</v>
      </c>
    </row>
    <row r="2854" spans="1:12" x14ac:dyDescent="0.15">
      <c r="A2854" s="1" t="s">
        <v>908</v>
      </c>
      <c r="B2854" s="1" t="s">
        <v>1142</v>
      </c>
      <c r="D2854" s="1" t="s">
        <v>1143</v>
      </c>
      <c r="E2854" s="1" t="s">
        <v>1676</v>
      </c>
      <c r="F2854" s="3">
        <v>0</v>
      </c>
      <c r="G2854" s="8" t="s">
        <v>2773</v>
      </c>
      <c r="H2854" s="8" t="s">
        <v>5161</v>
      </c>
      <c r="I2854" s="3">
        <v>9</v>
      </c>
      <c r="J2854" s="3" t="s">
        <v>6079</v>
      </c>
      <c r="K2854" s="17" t="str">
        <f>HYPERLINK("http://ictvonline.org/taxonomyHistory.asp?taxnode_id=20173093","ICTVonline=20173093")</f>
        <v>ICTVonline=20173093</v>
      </c>
      <c r="L2854" s="3">
        <v>2853</v>
      </c>
    </row>
    <row r="2855" spans="1:12" x14ac:dyDescent="0.15">
      <c r="A2855" s="1" t="s">
        <v>908</v>
      </c>
      <c r="B2855" s="1" t="s">
        <v>1142</v>
      </c>
      <c r="D2855" s="1" t="s">
        <v>1143</v>
      </c>
      <c r="E2855" s="1" t="s">
        <v>1677</v>
      </c>
      <c r="F2855" s="3">
        <v>0</v>
      </c>
      <c r="G2855" s="8" t="s">
        <v>2773</v>
      </c>
      <c r="H2855" s="8" t="s">
        <v>5161</v>
      </c>
      <c r="I2855" s="3">
        <v>9</v>
      </c>
      <c r="J2855" s="3" t="s">
        <v>6079</v>
      </c>
      <c r="K2855" s="17" t="str">
        <f>HYPERLINK("http://ictvonline.org/taxonomyHistory.asp?taxnode_id=20173094","ICTVonline=20173094")</f>
        <v>ICTVonline=20173094</v>
      </c>
      <c r="L2855" s="3">
        <v>2854</v>
      </c>
    </row>
    <row r="2856" spans="1:12" x14ac:dyDescent="0.15">
      <c r="A2856" s="1" t="s">
        <v>908</v>
      </c>
      <c r="B2856" s="1" t="s">
        <v>1142</v>
      </c>
      <c r="D2856" s="1" t="s">
        <v>1143</v>
      </c>
      <c r="E2856" s="1" t="s">
        <v>1678</v>
      </c>
      <c r="F2856" s="3">
        <v>0</v>
      </c>
      <c r="G2856" s="8" t="s">
        <v>2773</v>
      </c>
      <c r="H2856" s="8" t="s">
        <v>5161</v>
      </c>
      <c r="I2856" s="3">
        <v>9</v>
      </c>
      <c r="J2856" s="3" t="s">
        <v>6079</v>
      </c>
      <c r="K2856" s="17" t="str">
        <f>HYPERLINK("http://ictvonline.org/taxonomyHistory.asp?taxnode_id=20173095","ICTVonline=20173095")</f>
        <v>ICTVonline=20173095</v>
      </c>
      <c r="L2856" s="3">
        <v>2855</v>
      </c>
    </row>
    <row r="2857" spans="1:12" x14ac:dyDescent="0.15">
      <c r="A2857" s="1" t="s">
        <v>908</v>
      </c>
      <c r="B2857" s="1" t="s">
        <v>1142</v>
      </c>
      <c r="D2857" s="1" t="s">
        <v>1143</v>
      </c>
      <c r="E2857" s="1" t="s">
        <v>1679</v>
      </c>
      <c r="F2857" s="3">
        <v>0</v>
      </c>
      <c r="G2857" s="8" t="s">
        <v>2773</v>
      </c>
      <c r="H2857" s="8" t="s">
        <v>5161</v>
      </c>
      <c r="I2857" s="3">
        <v>9</v>
      </c>
      <c r="J2857" s="3" t="s">
        <v>6079</v>
      </c>
      <c r="K2857" s="17" t="str">
        <f>HYPERLINK("http://ictvonline.org/taxonomyHistory.asp?taxnode_id=20173096","ICTVonline=20173096")</f>
        <v>ICTVonline=20173096</v>
      </c>
      <c r="L2857" s="3">
        <v>2856</v>
      </c>
    </row>
    <row r="2858" spans="1:12" x14ac:dyDescent="0.15">
      <c r="A2858" s="1" t="s">
        <v>908</v>
      </c>
      <c r="B2858" s="1" t="s">
        <v>1142</v>
      </c>
      <c r="D2858" s="1" t="s">
        <v>1143</v>
      </c>
      <c r="E2858" s="1" t="s">
        <v>1680</v>
      </c>
      <c r="F2858" s="3">
        <v>0</v>
      </c>
      <c r="G2858" s="8" t="s">
        <v>2773</v>
      </c>
      <c r="H2858" s="8" t="s">
        <v>5159</v>
      </c>
      <c r="I2858" s="3">
        <v>12</v>
      </c>
      <c r="J2858" s="3" t="s">
        <v>6080</v>
      </c>
      <c r="K2858" s="17" t="str">
        <f>HYPERLINK("http://ictvonline.org/taxonomyHistory.asp?taxnode_id=20173097","ICTVonline=20173097")</f>
        <v>ICTVonline=20173097</v>
      </c>
      <c r="L2858" s="3">
        <v>2857</v>
      </c>
    </row>
    <row r="2859" spans="1:12" x14ac:dyDescent="0.15">
      <c r="A2859" s="1" t="s">
        <v>908</v>
      </c>
      <c r="B2859" s="1" t="s">
        <v>1142</v>
      </c>
      <c r="D2859" s="1" t="s">
        <v>1143</v>
      </c>
      <c r="E2859" s="1" t="s">
        <v>1681</v>
      </c>
      <c r="F2859" s="3">
        <v>0</v>
      </c>
      <c r="G2859" s="8" t="s">
        <v>2773</v>
      </c>
      <c r="H2859" s="8" t="s">
        <v>5161</v>
      </c>
      <c r="I2859" s="3">
        <v>9</v>
      </c>
      <c r="J2859" s="3" t="s">
        <v>6079</v>
      </c>
      <c r="K2859" s="17" t="str">
        <f>HYPERLINK("http://ictvonline.org/taxonomyHistory.asp?taxnode_id=20173098","ICTVonline=20173098")</f>
        <v>ICTVonline=20173098</v>
      </c>
      <c r="L2859" s="3">
        <v>2858</v>
      </c>
    </row>
    <row r="2860" spans="1:12" x14ac:dyDescent="0.15">
      <c r="A2860" s="1" t="s">
        <v>908</v>
      </c>
      <c r="B2860" s="1" t="s">
        <v>1142</v>
      </c>
      <c r="D2860" s="1" t="s">
        <v>1143</v>
      </c>
      <c r="E2860" s="1" t="s">
        <v>2011</v>
      </c>
      <c r="F2860" s="3">
        <v>0</v>
      </c>
      <c r="G2860" s="8" t="s">
        <v>2773</v>
      </c>
      <c r="H2860" s="8" t="s">
        <v>5159</v>
      </c>
      <c r="I2860" s="3">
        <v>18</v>
      </c>
      <c r="J2860" s="3" t="s">
        <v>5597</v>
      </c>
      <c r="K2860" s="17" t="str">
        <f>HYPERLINK("http://ictvonline.org/taxonomyHistory.asp?taxnode_id=20173099","ICTVonline=20173099")</f>
        <v>ICTVonline=20173099</v>
      </c>
      <c r="L2860" s="3">
        <v>2859</v>
      </c>
    </row>
    <row r="2861" spans="1:12" x14ac:dyDescent="0.15">
      <c r="A2861" s="1" t="s">
        <v>908</v>
      </c>
      <c r="B2861" s="1" t="s">
        <v>1142</v>
      </c>
      <c r="D2861" s="1" t="s">
        <v>1143</v>
      </c>
      <c r="E2861" s="1" t="s">
        <v>1179</v>
      </c>
      <c r="F2861" s="3">
        <v>0</v>
      </c>
      <c r="G2861" s="8" t="s">
        <v>2773</v>
      </c>
      <c r="H2861" s="8" t="s">
        <v>5168</v>
      </c>
      <c r="I2861" s="3">
        <v>18</v>
      </c>
      <c r="J2861" s="3" t="s">
        <v>5597</v>
      </c>
      <c r="K2861" s="17" t="str">
        <f>HYPERLINK("http://ictvonline.org/taxonomyHistory.asp?taxnode_id=20173100","ICTVonline=20173100")</f>
        <v>ICTVonline=20173100</v>
      </c>
      <c r="L2861" s="3">
        <v>2860</v>
      </c>
    </row>
    <row r="2862" spans="1:12" x14ac:dyDescent="0.15">
      <c r="A2862" s="1" t="s">
        <v>908</v>
      </c>
      <c r="B2862" s="1" t="s">
        <v>1142</v>
      </c>
      <c r="D2862" s="1" t="s">
        <v>1143</v>
      </c>
      <c r="E2862" s="1" t="s">
        <v>1180</v>
      </c>
      <c r="F2862" s="3">
        <v>0</v>
      </c>
      <c r="G2862" s="8" t="s">
        <v>2773</v>
      </c>
      <c r="H2862" s="8" t="s">
        <v>5161</v>
      </c>
      <c r="I2862" s="3">
        <v>9</v>
      </c>
      <c r="J2862" s="3" t="s">
        <v>6079</v>
      </c>
      <c r="K2862" s="17" t="str">
        <f>HYPERLINK("http://ictvonline.org/taxonomyHistory.asp?taxnode_id=20173101","ICTVonline=20173101")</f>
        <v>ICTVonline=20173101</v>
      </c>
      <c r="L2862" s="3">
        <v>2861</v>
      </c>
    </row>
    <row r="2863" spans="1:12" x14ac:dyDescent="0.15">
      <c r="A2863" s="1" t="s">
        <v>908</v>
      </c>
      <c r="B2863" s="1" t="s">
        <v>1142</v>
      </c>
      <c r="D2863" s="1" t="s">
        <v>1143</v>
      </c>
      <c r="E2863" s="1" t="s">
        <v>1181</v>
      </c>
      <c r="F2863" s="3">
        <v>0</v>
      </c>
      <c r="G2863" s="8" t="s">
        <v>2773</v>
      </c>
      <c r="H2863" s="8" t="s">
        <v>5161</v>
      </c>
      <c r="I2863" s="3">
        <v>9</v>
      </c>
      <c r="J2863" s="3" t="s">
        <v>6079</v>
      </c>
      <c r="K2863" s="17" t="str">
        <f>HYPERLINK("http://ictvonline.org/taxonomyHistory.asp?taxnode_id=20173102","ICTVonline=20173102")</f>
        <v>ICTVonline=20173102</v>
      </c>
      <c r="L2863" s="3">
        <v>2862</v>
      </c>
    </row>
    <row r="2864" spans="1:12" x14ac:dyDescent="0.15">
      <c r="A2864" s="1" t="s">
        <v>908</v>
      </c>
      <c r="B2864" s="1" t="s">
        <v>1142</v>
      </c>
      <c r="D2864" s="1" t="s">
        <v>1143</v>
      </c>
      <c r="E2864" s="1" t="s">
        <v>720</v>
      </c>
      <c r="F2864" s="3">
        <v>0</v>
      </c>
      <c r="G2864" s="8" t="s">
        <v>2773</v>
      </c>
      <c r="H2864" s="8" t="s">
        <v>5161</v>
      </c>
      <c r="I2864" s="3">
        <v>9</v>
      </c>
      <c r="J2864" s="3" t="s">
        <v>6079</v>
      </c>
      <c r="K2864" s="17" t="str">
        <f>HYPERLINK("http://ictvonline.org/taxonomyHistory.asp?taxnode_id=20173103","ICTVonline=20173103")</f>
        <v>ICTVonline=20173103</v>
      </c>
      <c r="L2864" s="3">
        <v>2863</v>
      </c>
    </row>
    <row r="2865" spans="1:12" x14ac:dyDescent="0.15">
      <c r="A2865" s="1" t="s">
        <v>908</v>
      </c>
      <c r="B2865" s="1" t="s">
        <v>1142</v>
      </c>
      <c r="D2865" s="1" t="s">
        <v>1143</v>
      </c>
      <c r="E2865" s="1" t="s">
        <v>721</v>
      </c>
      <c r="F2865" s="3">
        <v>0</v>
      </c>
      <c r="G2865" s="8" t="s">
        <v>2773</v>
      </c>
      <c r="H2865" s="8" t="s">
        <v>5161</v>
      </c>
      <c r="I2865" s="3">
        <v>9</v>
      </c>
      <c r="J2865" s="3" t="s">
        <v>6079</v>
      </c>
      <c r="K2865" s="17" t="str">
        <f>HYPERLINK("http://ictvonline.org/taxonomyHistory.asp?taxnode_id=20173104","ICTVonline=20173104")</f>
        <v>ICTVonline=20173104</v>
      </c>
      <c r="L2865" s="3">
        <v>2864</v>
      </c>
    </row>
    <row r="2866" spans="1:12" x14ac:dyDescent="0.15">
      <c r="A2866" s="1" t="s">
        <v>908</v>
      </c>
      <c r="B2866" s="1" t="s">
        <v>1142</v>
      </c>
      <c r="D2866" s="1" t="s">
        <v>1143</v>
      </c>
      <c r="E2866" s="1" t="s">
        <v>722</v>
      </c>
      <c r="F2866" s="3">
        <v>0</v>
      </c>
      <c r="G2866" s="8" t="s">
        <v>2773</v>
      </c>
      <c r="H2866" s="8" t="s">
        <v>5161</v>
      </c>
      <c r="I2866" s="3">
        <v>9</v>
      </c>
      <c r="J2866" s="3" t="s">
        <v>6079</v>
      </c>
      <c r="K2866" s="17" t="str">
        <f>HYPERLINK("http://ictvonline.org/taxonomyHistory.asp?taxnode_id=20173105","ICTVonline=20173105")</f>
        <v>ICTVonline=20173105</v>
      </c>
      <c r="L2866" s="3">
        <v>2865</v>
      </c>
    </row>
    <row r="2867" spans="1:12" x14ac:dyDescent="0.15">
      <c r="A2867" s="1" t="s">
        <v>908</v>
      </c>
      <c r="B2867" s="1" t="s">
        <v>1142</v>
      </c>
      <c r="D2867" s="1" t="s">
        <v>1143</v>
      </c>
      <c r="E2867" s="1" t="s">
        <v>723</v>
      </c>
      <c r="F2867" s="3">
        <v>0</v>
      </c>
      <c r="G2867" s="8" t="s">
        <v>2773</v>
      </c>
      <c r="H2867" s="8" t="s">
        <v>5168</v>
      </c>
      <c r="I2867" s="3">
        <v>18</v>
      </c>
      <c r="J2867" s="3" t="s">
        <v>5597</v>
      </c>
      <c r="K2867" s="17" t="str">
        <f>HYPERLINK("http://ictvonline.org/taxonomyHistory.asp?taxnode_id=20173106","ICTVonline=20173106")</f>
        <v>ICTVonline=20173106</v>
      </c>
      <c r="L2867" s="3">
        <v>2866</v>
      </c>
    </row>
    <row r="2868" spans="1:12" x14ac:dyDescent="0.15">
      <c r="A2868" s="1" t="s">
        <v>908</v>
      </c>
      <c r="B2868" s="1" t="s">
        <v>1142</v>
      </c>
      <c r="D2868" s="1" t="s">
        <v>1143</v>
      </c>
      <c r="E2868" s="1" t="s">
        <v>724</v>
      </c>
      <c r="F2868" s="3">
        <v>0</v>
      </c>
      <c r="G2868" s="8" t="s">
        <v>2773</v>
      </c>
      <c r="H2868" s="8" t="s">
        <v>5161</v>
      </c>
      <c r="I2868" s="3">
        <v>9</v>
      </c>
      <c r="J2868" s="3" t="s">
        <v>6079</v>
      </c>
      <c r="K2868" s="17" t="str">
        <f>HYPERLINK("http://ictvonline.org/taxonomyHistory.asp?taxnode_id=20173107","ICTVonline=20173107")</f>
        <v>ICTVonline=20173107</v>
      </c>
      <c r="L2868" s="3">
        <v>2867</v>
      </c>
    </row>
    <row r="2869" spans="1:12" x14ac:dyDescent="0.15">
      <c r="A2869" s="1" t="s">
        <v>908</v>
      </c>
      <c r="B2869" s="1" t="s">
        <v>1142</v>
      </c>
      <c r="D2869" s="1" t="s">
        <v>1143</v>
      </c>
      <c r="E2869" s="1" t="s">
        <v>6081</v>
      </c>
      <c r="F2869" s="3">
        <v>0</v>
      </c>
      <c r="G2869" s="8" t="s">
        <v>2773</v>
      </c>
      <c r="H2869" s="8" t="s">
        <v>5162</v>
      </c>
      <c r="I2869" s="3">
        <v>32</v>
      </c>
      <c r="J2869" s="3" t="s">
        <v>5564</v>
      </c>
      <c r="K2869" s="17" t="str">
        <f>HYPERLINK("http://ictvonline.org/taxonomyHistory.asp?taxnode_id=20173112","ICTVonline=20173112")</f>
        <v>ICTVonline=20173112</v>
      </c>
      <c r="L2869" s="3">
        <v>2868</v>
      </c>
    </row>
    <row r="2870" spans="1:12" x14ac:dyDescent="0.15">
      <c r="A2870" s="1" t="s">
        <v>908</v>
      </c>
      <c r="B2870" s="1" t="s">
        <v>1142</v>
      </c>
      <c r="D2870" s="1" t="s">
        <v>1143</v>
      </c>
      <c r="E2870" s="1" t="s">
        <v>725</v>
      </c>
      <c r="F2870" s="3">
        <v>0</v>
      </c>
      <c r="G2870" s="8" t="s">
        <v>2773</v>
      </c>
      <c r="H2870" s="8" t="s">
        <v>5162</v>
      </c>
      <c r="I2870" s="3">
        <v>14</v>
      </c>
      <c r="J2870" s="3" t="s">
        <v>6027</v>
      </c>
      <c r="K2870" s="17" t="str">
        <f>HYPERLINK("http://ictvonline.org/taxonomyHistory.asp?taxnode_id=20173108","ICTVonline=20173108")</f>
        <v>ICTVonline=20173108</v>
      </c>
      <c r="L2870" s="3">
        <v>2869</v>
      </c>
    </row>
    <row r="2871" spans="1:12" x14ac:dyDescent="0.15">
      <c r="A2871" s="1" t="s">
        <v>908</v>
      </c>
      <c r="B2871" s="1" t="s">
        <v>1142</v>
      </c>
      <c r="D2871" s="1" t="s">
        <v>1143</v>
      </c>
      <c r="E2871" s="1" t="s">
        <v>726</v>
      </c>
      <c r="F2871" s="3">
        <v>0</v>
      </c>
      <c r="G2871" s="8" t="s">
        <v>2773</v>
      </c>
      <c r="H2871" s="8" t="s">
        <v>5159</v>
      </c>
      <c r="I2871" s="3">
        <v>12</v>
      </c>
      <c r="J2871" s="3" t="s">
        <v>6080</v>
      </c>
      <c r="K2871" s="17" t="str">
        <f>HYPERLINK("http://ictvonline.org/taxonomyHistory.asp?taxnode_id=20173109","ICTVonline=20173109")</f>
        <v>ICTVonline=20173109</v>
      </c>
      <c r="L2871" s="3">
        <v>2870</v>
      </c>
    </row>
    <row r="2872" spans="1:12" x14ac:dyDescent="0.15">
      <c r="A2872" s="1" t="s">
        <v>908</v>
      </c>
      <c r="B2872" s="1" t="s">
        <v>1142</v>
      </c>
      <c r="D2872" s="1" t="s">
        <v>1143</v>
      </c>
      <c r="E2872" s="1" t="s">
        <v>1187</v>
      </c>
      <c r="F2872" s="3">
        <v>0</v>
      </c>
      <c r="G2872" s="8" t="s">
        <v>2773</v>
      </c>
      <c r="H2872" s="8" t="s">
        <v>5161</v>
      </c>
      <c r="I2872" s="3">
        <v>9</v>
      </c>
      <c r="J2872" s="3" t="s">
        <v>6079</v>
      </c>
      <c r="K2872" s="17" t="str">
        <f>HYPERLINK("http://ictvonline.org/taxonomyHistory.asp?taxnode_id=20173110","ICTVonline=20173110")</f>
        <v>ICTVonline=20173110</v>
      </c>
      <c r="L2872" s="3">
        <v>2871</v>
      </c>
    </row>
    <row r="2873" spans="1:12" x14ac:dyDescent="0.15">
      <c r="A2873" s="1" t="s">
        <v>908</v>
      </c>
      <c r="B2873" s="1" t="s">
        <v>1142</v>
      </c>
      <c r="D2873" s="1" t="s">
        <v>1143</v>
      </c>
      <c r="E2873" s="1" t="s">
        <v>1188</v>
      </c>
      <c r="F2873" s="3">
        <v>0</v>
      </c>
      <c r="G2873" s="8" t="s">
        <v>2773</v>
      </c>
      <c r="H2873" s="8" t="s">
        <v>5159</v>
      </c>
      <c r="I2873" s="3">
        <v>18</v>
      </c>
      <c r="J2873" s="3" t="s">
        <v>5597</v>
      </c>
      <c r="K2873" s="17" t="str">
        <f>HYPERLINK("http://ictvonline.org/taxonomyHistory.asp?taxnode_id=20173111","ICTVonline=20173111")</f>
        <v>ICTVonline=20173111</v>
      </c>
      <c r="L2873" s="3">
        <v>2872</v>
      </c>
    </row>
    <row r="2874" spans="1:12" x14ac:dyDescent="0.15">
      <c r="A2874" s="1" t="s">
        <v>908</v>
      </c>
      <c r="B2874" s="1" t="s">
        <v>1142</v>
      </c>
      <c r="D2874" s="1" t="s">
        <v>1143</v>
      </c>
      <c r="E2874" s="1" t="s">
        <v>1189</v>
      </c>
      <c r="F2874" s="3">
        <v>0</v>
      </c>
      <c r="G2874" s="8" t="s">
        <v>2773</v>
      </c>
      <c r="H2874" s="8" t="s">
        <v>5161</v>
      </c>
      <c r="I2874" s="3">
        <v>9</v>
      </c>
      <c r="J2874" s="3" t="s">
        <v>6079</v>
      </c>
      <c r="K2874" s="17" t="str">
        <f>HYPERLINK("http://ictvonline.org/taxonomyHistory.asp?taxnode_id=20173113","ICTVonline=20173113")</f>
        <v>ICTVonline=20173113</v>
      </c>
      <c r="L2874" s="3">
        <v>2873</v>
      </c>
    </row>
    <row r="2875" spans="1:12" x14ac:dyDescent="0.15">
      <c r="A2875" s="1" t="s">
        <v>908</v>
      </c>
      <c r="B2875" s="1" t="s">
        <v>1142</v>
      </c>
      <c r="D2875" s="1" t="s">
        <v>1143</v>
      </c>
      <c r="E2875" s="1" t="s">
        <v>1190</v>
      </c>
      <c r="F2875" s="3">
        <v>0</v>
      </c>
      <c r="G2875" s="8" t="s">
        <v>2773</v>
      </c>
      <c r="H2875" s="8" t="s">
        <v>5161</v>
      </c>
      <c r="I2875" s="3">
        <v>9</v>
      </c>
      <c r="J2875" s="3" t="s">
        <v>6079</v>
      </c>
      <c r="K2875" s="17" t="str">
        <f>HYPERLINK("http://ictvonline.org/taxonomyHistory.asp?taxnode_id=20173114","ICTVonline=20173114")</f>
        <v>ICTVonline=20173114</v>
      </c>
      <c r="L2875" s="3">
        <v>2874</v>
      </c>
    </row>
    <row r="2876" spans="1:12" x14ac:dyDescent="0.15">
      <c r="A2876" s="1" t="s">
        <v>908</v>
      </c>
      <c r="B2876" s="1" t="s">
        <v>1142</v>
      </c>
      <c r="D2876" s="1" t="s">
        <v>1143</v>
      </c>
      <c r="E2876" s="1" t="s">
        <v>1191</v>
      </c>
      <c r="F2876" s="3">
        <v>0</v>
      </c>
      <c r="G2876" s="8" t="s">
        <v>2773</v>
      </c>
      <c r="H2876" s="8" t="s">
        <v>5161</v>
      </c>
      <c r="I2876" s="3">
        <v>9</v>
      </c>
      <c r="J2876" s="3" t="s">
        <v>6079</v>
      </c>
      <c r="K2876" s="17" t="str">
        <f>HYPERLINK("http://ictvonline.org/taxonomyHistory.asp?taxnode_id=20173115","ICTVonline=20173115")</f>
        <v>ICTVonline=20173115</v>
      </c>
      <c r="L2876" s="3">
        <v>2875</v>
      </c>
    </row>
    <row r="2877" spans="1:12" x14ac:dyDescent="0.15">
      <c r="A2877" s="1" t="s">
        <v>908</v>
      </c>
      <c r="B2877" s="1" t="s">
        <v>1142</v>
      </c>
      <c r="D2877" s="1" t="s">
        <v>1143</v>
      </c>
      <c r="E2877" s="1" t="s">
        <v>1192</v>
      </c>
      <c r="F2877" s="3">
        <v>0</v>
      </c>
      <c r="G2877" s="8" t="s">
        <v>2773</v>
      </c>
      <c r="H2877" s="8" t="s">
        <v>5161</v>
      </c>
      <c r="I2877" s="3">
        <v>9</v>
      </c>
      <c r="J2877" s="3" t="s">
        <v>6079</v>
      </c>
      <c r="K2877" s="17" t="str">
        <f>HYPERLINK("http://ictvonline.org/taxonomyHistory.asp?taxnode_id=20173116","ICTVonline=20173116")</f>
        <v>ICTVonline=20173116</v>
      </c>
      <c r="L2877" s="3">
        <v>2876</v>
      </c>
    </row>
    <row r="2878" spans="1:12" x14ac:dyDescent="0.15">
      <c r="A2878" s="1" t="s">
        <v>908</v>
      </c>
      <c r="B2878" s="1" t="s">
        <v>1142</v>
      </c>
      <c r="D2878" s="1" t="s">
        <v>1143</v>
      </c>
      <c r="E2878" s="1" t="s">
        <v>1193</v>
      </c>
      <c r="F2878" s="3">
        <v>0</v>
      </c>
      <c r="G2878" s="8" t="s">
        <v>2773</v>
      </c>
      <c r="H2878" s="8" t="s">
        <v>5161</v>
      </c>
      <c r="I2878" s="3">
        <v>9</v>
      </c>
      <c r="J2878" s="3" t="s">
        <v>6079</v>
      </c>
      <c r="K2878" s="17" t="str">
        <f>HYPERLINK("http://ictvonline.org/taxonomyHistory.asp?taxnode_id=20173117","ICTVonline=20173117")</f>
        <v>ICTVonline=20173117</v>
      </c>
      <c r="L2878" s="3">
        <v>2877</v>
      </c>
    </row>
    <row r="2879" spans="1:12" x14ac:dyDescent="0.15">
      <c r="A2879" s="1" t="s">
        <v>908</v>
      </c>
      <c r="B2879" s="1" t="s">
        <v>1142</v>
      </c>
      <c r="D2879" s="1" t="s">
        <v>1143</v>
      </c>
      <c r="E2879" s="1" t="s">
        <v>1194</v>
      </c>
      <c r="F2879" s="3">
        <v>0</v>
      </c>
      <c r="G2879" s="8" t="s">
        <v>2773</v>
      </c>
      <c r="H2879" s="8" t="s">
        <v>5159</v>
      </c>
      <c r="I2879" s="3">
        <v>18</v>
      </c>
      <c r="J2879" s="3" t="s">
        <v>5597</v>
      </c>
      <c r="K2879" s="17" t="str">
        <f>HYPERLINK("http://ictvonline.org/taxonomyHistory.asp?taxnode_id=20173118","ICTVonline=20173118")</f>
        <v>ICTVonline=20173118</v>
      </c>
      <c r="L2879" s="3">
        <v>2878</v>
      </c>
    </row>
    <row r="2880" spans="1:12" x14ac:dyDescent="0.15">
      <c r="A2880" s="1" t="s">
        <v>908</v>
      </c>
      <c r="B2880" s="1" t="s">
        <v>1142</v>
      </c>
      <c r="D2880" s="1" t="s">
        <v>1143</v>
      </c>
      <c r="E2880" s="1" t="s">
        <v>1195</v>
      </c>
      <c r="F2880" s="3">
        <v>0</v>
      </c>
      <c r="G2880" s="8" t="s">
        <v>2773</v>
      </c>
      <c r="H2880" s="8" t="s">
        <v>5168</v>
      </c>
      <c r="I2880" s="3">
        <v>18</v>
      </c>
      <c r="J2880" s="3" t="s">
        <v>5597</v>
      </c>
      <c r="K2880" s="17" t="str">
        <f>HYPERLINK("http://ictvonline.org/taxonomyHistory.asp?taxnode_id=20173119","ICTVonline=20173119")</f>
        <v>ICTVonline=20173119</v>
      </c>
      <c r="L2880" s="3">
        <v>2879</v>
      </c>
    </row>
    <row r="2881" spans="1:12" x14ac:dyDescent="0.15">
      <c r="A2881" s="1" t="s">
        <v>908</v>
      </c>
      <c r="B2881" s="1" t="s">
        <v>1142</v>
      </c>
      <c r="D2881" s="1" t="s">
        <v>1143</v>
      </c>
      <c r="E2881" s="1" t="s">
        <v>1196</v>
      </c>
      <c r="F2881" s="3">
        <v>0</v>
      </c>
      <c r="G2881" s="8" t="s">
        <v>2773</v>
      </c>
      <c r="H2881" s="8" t="s">
        <v>5159</v>
      </c>
      <c r="I2881" s="3">
        <v>18</v>
      </c>
      <c r="J2881" s="3" t="s">
        <v>5597</v>
      </c>
      <c r="K2881" s="17" t="str">
        <f>HYPERLINK("http://ictvonline.org/taxonomyHistory.asp?taxnode_id=20173120","ICTVonline=20173120")</f>
        <v>ICTVonline=20173120</v>
      </c>
      <c r="L2881" s="3">
        <v>2880</v>
      </c>
    </row>
    <row r="2882" spans="1:12" x14ac:dyDescent="0.15">
      <c r="A2882" s="1" t="s">
        <v>908</v>
      </c>
      <c r="B2882" s="1" t="s">
        <v>1142</v>
      </c>
      <c r="D2882" s="1" t="s">
        <v>1143</v>
      </c>
      <c r="E2882" s="1" t="s">
        <v>1197</v>
      </c>
      <c r="F2882" s="3">
        <v>1</v>
      </c>
      <c r="G2882" s="8" t="s">
        <v>2773</v>
      </c>
      <c r="H2882" s="8" t="s">
        <v>5161</v>
      </c>
      <c r="I2882" s="3">
        <v>9</v>
      </c>
      <c r="J2882" s="3" t="s">
        <v>6079</v>
      </c>
      <c r="K2882" s="17" t="str">
        <f>HYPERLINK("http://ictvonline.org/taxonomyHistory.asp?taxnode_id=20173121","ICTVonline=20173121")</f>
        <v>ICTVonline=20173121</v>
      </c>
      <c r="L2882" s="3">
        <v>2881</v>
      </c>
    </row>
    <row r="2883" spans="1:12" x14ac:dyDescent="0.15">
      <c r="A2883" s="1" t="s">
        <v>908</v>
      </c>
      <c r="B2883" s="1" t="s">
        <v>1142</v>
      </c>
      <c r="D2883" s="1" t="s">
        <v>1143</v>
      </c>
      <c r="E2883" s="1" t="s">
        <v>1198</v>
      </c>
      <c r="F2883" s="3">
        <v>0</v>
      </c>
      <c r="G2883" s="8" t="s">
        <v>2773</v>
      </c>
      <c r="H2883" s="8" t="s">
        <v>5162</v>
      </c>
      <c r="I2883" s="3">
        <v>18</v>
      </c>
      <c r="J2883" s="3" t="s">
        <v>5597</v>
      </c>
      <c r="K2883" s="17" t="str">
        <f>HYPERLINK("http://ictvonline.org/taxonomyHistory.asp?taxnode_id=20173122","ICTVonline=20173122")</f>
        <v>ICTVonline=20173122</v>
      </c>
      <c r="L2883" s="3">
        <v>2882</v>
      </c>
    </row>
    <row r="2884" spans="1:12" x14ac:dyDescent="0.15">
      <c r="A2884" s="1" t="s">
        <v>908</v>
      </c>
      <c r="B2884" s="1" t="s">
        <v>1142</v>
      </c>
      <c r="D2884" s="1" t="s">
        <v>1143</v>
      </c>
      <c r="E2884" s="1" t="s">
        <v>1199</v>
      </c>
      <c r="F2884" s="3">
        <v>0</v>
      </c>
      <c r="G2884" s="8" t="s">
        <v>2773</v>
      </c>
      <c r="H2884" s="8" t="s">
        <v>5159</v>
      </c>
      <c r="I2884" s="3">
        <v>18</v>
      </c>
      <c r="J2884" s="3" t="s">
        <v>5597</v>
      </c>
      <c r="K2884" s="17" t="str">
        <f>HYPERLINK("http://ictvonline.org/taxonomyHistory.asp?taxnode_id=20173123","ICTVonline=20173123")</f>
        <v>ICTVonline=20173123</v>
      </c>
      <c r="L2884" s="3">
        <v>2883</v>
      </c>
    </row>
    <row r="2885" spans="1:12" x14ac:dyDescent="0.15">
      <c r="A2885" s="1" t="s">
        <v>908</v>
      </c>
      <c r="B2885" s="1" t="s">
        <v>1142</v>
      </c>
      <c r="D2885" s="1" t="s">
        <v>1200</v>
      </c>
      <c r="E2885" s="1" t="s">
        <v>4911</v>
      </c>
      <c r="F2885" s="3">
        <v>0</v>
      </c>
      <c r="G2885" s="8" t="s">
        <v>2773</v>
      </c>
      <c r="H2885" s="8" t="s">
        <v>5159</v>
      </c>
      <c r="I2885" s="3">
        <v>31</v>
      </c>
      <c r="J2885" s="3" t="s">
        <v>6082</v>
      </c>
      <c r="K2885" s="17" t="str">
        <f>HYPERLINK("http://ictvonline.org/taxonomyHistory.asp?taxnode_id=20173125","ICTVonline=20173125")</f>
        <v>ICTVonline=20173125</v>
      </c>
      <c r="L2885" s="3">
        <v>2884</v>
      </c>
    </row>
    <row r="2886" spans="1:12" x14ac:dyDescent="0.15">
      <c r="A2886" s="1" t="s">
        <v>908</v>
      </c>
      <c r="B2886" s="1" t="s">
        <v>1142</v>
      </c>
      <c r="D2886" s="1" t="s">
        <v>1200</v>
      </c>
      <c r="E2886" s="1" t="s">
        <v>4912</v>
      </c>
      <c r="F2886" s="3">
        <v>0</v>
      </c>
      <c r="G2886" s="8" t="s">
        <v>2773</v>
      </c>
      <c r="H2886" s="8" t="s">
        <v>5159</v>
      </c>
      <c r="I2886" s="3">
        <v>31</v>
      </c>
      <c r="J2886" s="3" t="s">
        <v>6082</v>
      </c>
      <c r="K2886" s="17" t="str">
        <f>HYPERLINK("http://ictvonline.org/taxonomyHistory.asp?taxnode_id=20173126","ICTVonline=20173126")</f>
        <v>ICTVonline=20173126</v>
      </c>
      <c r="L2886" s="3">
        <v>2885</v>
      </c>
    </row>
    <row r="2887" spans="1:12" x14ac:dyDescent="0.15">
      <c r="A2887" s="1" t="s">
        <v>908</v>
      </c>
      <c r="B2887" s="1" t="s">
        <v>1142</v>
      </c>
      <c r="D2887" s="1" t="s">
        <v>1200</v>
      </c>
      <c r="E2887" s="1" t="s">
        <v>5251</v>
      </c>
      <c r="F2887" s="3">
        <v>1</v>
      </c>
      <c r="G2887" s="8" t="s">
        <v>2773</v>
      </c>
      <c r="H2887" s="8" t="s">
        <v>5162</v>
      </c>
      <c r="I2887" s="3">
        <v>31</v>
      </c>
      <c r="J2887" s="3" t="s">
        <v>6082</v>
      </c>
      <c r="K2887" s="17" t="str">
        <f>HYPERLINK("http://ictvonline.org/taxonomyHistory.asp?taxnode_id=20173127","ICTVonline=20173127")</f>
        <v>ICTVonline=20173127</v>
      </c>
      <c r="L2887" s="3">
        <v>2886</v>
      </c>
    </row>
    <row r="2888" spans="1:12" x14ac:dyDescent="0.15">
      <c r="A2888" s="1" t="s">
        <v>908</v>
      </c>
      <c r="B2888" s="1" t="s">
        <v>1142</v>
      </c>
      <c r="D2888" s="1" t="s">
        <v>1200</v>
      </c>
      <c r="E2888" s="1" t="s">
        <v>4913</v>
      </c>
      <c r="F2888" s="3">
        <v>0</v>
      </c>
      <c r="G2888" s="8" t="s">
        <v>2773</v>
      </c>
      <c r="H2888" s="8" t="s">
        <v>5159</v>
      </c>
      <c r="I2888" s="3">
        <v>31</v>
      </c>
      <c r="J2888" s="3" t="s">
        <v>6082</v>
      </c>
      <c r="K2888" s="17" t="str">
        <f>HYPERLINK("http://ictvonline.org/taxonomyHistory.asp?taxnode_id=20173128","ICTVonline=20173128")</f>
        <v>ICTVonline=20173128</v>
      </c>
      <c r="L2888" s="3">
        <v>2887</v>
      </c>
    </row>
    <row r="2889" spans="1:12" x14ac:dyDescent="0.15">
      <c r="A2889" s="1" t="s">
        <v>908</v>
      </c>
      <c r="B2889" s="1" t="s">
        <v>1142</v>
      </c>
      <c r="D2889" s="1" t="s">
        <v>1200</v>
      </c>
      <c r="E2889" s="1" t="s">
        <v>4914</v>
      </c>
      <c r="F2889" s="3">
        <v>0</v>
      </c>
      <c r="G2889" s="8" t="s">
        <v>2773</v>
      </c>
      <c r="H2889" s="8" t="s">
        <v>5159</v>
      </c>
      <c r="I2889" s="3">
        <v>31</v>
      </c>
      <c r="J2889" s="3" t="s">
        <v>6082</v>
      </c>
      <c r="K2889" s="17" t="str">
        <f>HYPERLINK("http://ictvonline.org/taxonomyHistory.asp?taxnode_id=20173129","ICTVonline=20173129")</f>
        <v>ICTVonline=20173129</v>
      </c>
      <c r="L2889" s="3">
        <v>2888</v>
      </c>
    </row>
    <row r="2890" spans="1:12" x14ac:dyDescent="0.15">
      <c r="A2890" s="1" t="s">
        <v>908</v>
      </c>
      <c r="B2890" s="1" t="s">
        <v>1142</v>
      </c>
      <c r="D2890" s="1" t="s">
        <v>1200</v>
      </c>
      <c r="E2890" s="1" t="s">
        <v>4915</v>
      </c>
      <c r="F2890" s="3">
        <v>0</v>
      </c>
      <c r="G2890" s="8" t="s">
        <v>2773</v>
      </c>
      <c r="H2890" s="8" t="s">
        <v>5159</v>
      </c>
      <c r="I2890" s="3">
        <v>31</v>
      </c>
      <c r="J2890" s="3" t="s">
        <v>6082</v>
      </c>
      <c r="K2890" s="17" t="str">
        <f>HYPERLINK("http://ictvonline.org/taxonomyHistory.asp?taxnode_id=20173130","ICTVonline=20173130")</f>
        <v>ICTVonline=20173130</v>
      </c>
      <c r="L2890" s="3">
        <v>2889</v>
      </c>
    </row>
    <row r="2891" spans="1:12" x14ac:dyDescent="0.15">
      <c r="A2891" s="1" t="s">
        <v>908</v>
      </c>
      <c r="B2891" s="1" t="s">
        <v>1142</v>
      </c>
      <c r="D2891" s="1" t="s">
        <v>1200</v>
      </c>
      <c r="E2891" s="1" t="s">
        <v>4916</v>
      </c>
      <c r="F2891" s="3">
        <v>0</v>
      </c>
      <c r="G2891" s="8" t="s">
        <v>2773</v>
      </c>
      <c r="H2891" s="8" t="s">
        <v>5159</v>
      </c>
      <c r="I2891" s="3">
        <v>31</v>
      </c>
      <c r="J2891" s="3" t="s">
        <v>6082</v>
      </c>
      <c r="K2891" s="17" t="str">
        <f>HYPERLINK("http://ictvonline.org/taxonomyHistory.asp?taxnode_id=20173131","ICTVonline=20173131")</f>
        <v>ICTVonline=20173131</v>
      </c>
      <c r="L2891" s="3">
        <v>2890</v>
      </c>
    </row>
    <row r="2892" spans="1:12" x14ac:dyDescent="0.15">
      <c r="A2892" s="1" t="s">
        <v>908</v>
      </c>
      <c r="B2892" s="1" t="s">
        <v>1142</v>
      </c>
      <c r="D2892" s="1" t="s">
        <v>1200</v>
      </c>
      <c r="E2892" s="1" t="s">
        <v>4917</v>
      </c>
      <c r="F2892" s="3">
        <v>0</v>
      </c>
      <c r="G2892" s="8" t="s">
        <v>2773</v>
      </c>
      <c r="H2892" s="8" t="s">
        <v>5159</v>
      </c>
      <c r="I2892" s="3">
        <v>31</v>
      </c>
      <c r="J2892" s="3" t="s">
        <v>6082</v>
      </c>
      <c r="K2892" s="17" t="str">
        <f>HYPERLINK("http://ictvonline.org/taxonomyHistory.asp?taxnode_id=20173132","ICTVonline=20173132")</f>
        <v>ICTVonline=20173132</v>
      </c>
      <c r="L2892" s="3">
        <v>2891</v>
      </c>
    </row>
    <row r="2893" spans="1:12" x14ac:dyDescent="0.15">
      <c r="A2893" s="1" t="s">
        <v>908</v>
      </c>
      <c r="B2893" s="1" t="s">
        <v>1142</v>
      </c>
      <c r="D2893" s="1" t="s">
        <v>1200</v>
      </c>
      <c r="E2893" s="1" t="s">
        <v>4918</v>
      </c>
      <c r="F2893" s="3">
        <v>0</v>
      </c>
      <c r="G2893" s="8" t="s">
        <v>2773</v>
      </c>
      <c r="H2893" s="8" t="s">
        <v>5159</v>
      </c>
      <c r="I2893" s="3">
        <v>31</v>
      </c>
      <c r="J2893" s="3" t="s">
        <v>6082</v>
      </c>
      <c r="K2893" s="17" t="str">
        <f>HYPERLINK("http://ictvonline.org/taxonomyHistory.asp?taxnode_id=20173133","ICTVonline=20173133")</f>
        <v>ICTVonline=20173133</v>
      </c>
      <c r="L2893" s="3">
        <v>2892</v>
      </c>
    </row>
    <row r="2894" spans="1:12" x14ac:dyDescent="0.15">
      <c r="A2894" s="1" t="s">
        <v>908</v>
      </c>
      <c r="B2894" s="1" t="s">
        <v>1142</v>
      </c>
      <c r="D2894" s="1" t="s">
        <v>1200</v>
      </c>
      <c r="E2894" s="1" t="s">
        <v>4919</v>
      </c>
      <c r="F2894" s="3">
        <v>0</v>
      </c>
      <c r="G2894" s="8" t="s">
        <v>2773</v>
      </c>
      <c r="H2894" s="8" t="s">
        <v>5159</v>
      </c>
      <c r="I2894" s="3">
        <v>31</v>
      </c>
      <c r="J2894" s="3" t="s">
        <v>6082</v>
      </c>
      <c r="K2894" s="17" t="str">
        <f>HYPERLINK("http://ictvonline.org/taxonomyHistory.asp?taxnode_id=20173134","ICTVonline=20173134")</f>
        <v>ICTVonline=20173134</v>
      </c>
      <c r="L2894" s="3">
        <v>2893</v>
      </c>
    </row>
    <row r="2895" spans="1:12" x14ac:dyDescent="0.15">
      <c r="A2895" s="1" t="s">
        <v>908</v>
      </c>
      <c r="B2895" s="1" t="s">
        <v>1142</v>
      </c>
      <c r="D2895" s="1" t="s">
        <v>1200</v>
      </c>
      <c r="E2895" s="1" t="s">
        <v>4920</v>
      </c>
      <c r="F2895" s="3">
        <v>0</v>
      </c>
      <c r="G2895" s="8" t="s">
        <v>2773</v>
      </c>
      <c r="H2895" s="8" t="s">
        <v>5159</v>
      </c>
      <c r="I2895" s="3">
        <v>31</v>
      </c>
      <c r="J2895" s="3" t="s">
        <v>6082</v>
      </c>
      <c r="K2895" s="17" t="str">
        <f>HYPERLINK("http://ictvonline.org/taxonomyHistory.asp?taxnode_id=20173135","ICTVonline=20173135")</f>
        <v>ICTVonline=20173135</v>
      </c>
      <c r="L2895" s="3">
        <v>2894</v>
      </c>
    </row>
    <row r="2896" spans="1:12" x14ac:dyDescent="0.15">
      <c r="A2896" s="1" t="s">
        <v>908</v>
      </c>
      <c r="B2896" s="1" t="s">
        <v>1142</v>
      </c>
      <c r="D2896" s="1" t="s">
        <v>1200</v>
      </c>
      <c r="E2896" s="1" t="s">
        <v>4921</v>
      </c>
      <c r="F2896" s="3">
        <v>0</v>
      </c>
      <c r="G2896" s="8" t="s">
        <v>2773</v>
      </c>
      <c r="H2896" s="8" t="s">
        <v>5159</v>
      </c>
      <c r="I2896" s="3">
        <v>31</v>
      </c>
      <c r="J2896" s="3" t="s">
        <v>6082</v>
      </c>
      <c r="K2896" s="17" t="str">
        <f>HYPERLINK("http://ictvonline.org/taxonomyHistory.asp?taxnode_id=20173136","ICTVonline=20173136")</f>
        <v>ICTVonline=20173136</v>
      </c>
      <c r="L2896" s="3">
        <v>2895</v>
      </c>
    </row>
    <row r="2897" spans="1:12" x14ac:dyDescent="0.15">
      <c r="A2897" s="1" t="s">
        <v>908</v>
      </c>
      <c r="B2897" s="1" t="s">
        <v>1142</v>
      </c>
      <c r="D2897" s="1" t="s">
        <v>1200</v>
      </c>
      <c r="E2897" s="1" t="s">
        <v>4922</v>
      </c>
      <c r="F2897" s="3">
        <v>0</v>
      </c>
      <c r="G2897" s="8" t="s">
        <v>2773</v>
      </c>
      <c r="H2897" s="8" t="s">
        <v>5159</v>
      </c>
      <c r="I2897" s="3">
        <v>31</v>
      </c>
      <c r="J2897" s="3" t="s">
        <v>6082</v>
      </c>
      <c r="K2897" s="17" t="str">
        <f>HYPERLINK("http://ictvonline.org/taxonomyHistory.asp?taxnode_id=20173137","ICTVonline=20173137")</f>
        <v>ICTVonline=20173137</v>
      </c>
      <c r="L2897" s="3">
        <v>2896</v>
      </c>
    </row>
    <row r="2898" spans="1:12" x14ac:dyDescent="0.15">
      <c r="A2898" s="1" t="s">
        <v>908</v>
      </c>
      <c r="B2898" s="1" t="s">
        <v>1142</v>
      </c>
      <c r="D2898" s="1" t="s">
        <v>1200</v>
      </c>
      <c r="E2898" s="1" t="s">
        <v>4923</v>
      </c>
      <c r="F2898" s="3">
        <v>0</v>
      </c>
      <c r="G2898" s="8" t="s">
        <v>2773</v>
      </c>
      <c r="H2898" s="8" t="s">
        <v>5159</v>
      </c>
      <c r="I2898" s="3">
        <v>31</v>
      </c>
      <c r="J2898" s="3" t="s">
        <v>6082</v>
      </c>
      <c r="K2898" s="17" t="str">
        <f>HYPERLINK("http://ictvonline.org/taxonomyHistory.asp?taxnode_id=20173138","ICTVonline=20173138")</f>
        <v>ICTVonline=20173138</v>
      </c>
      <c r="L2898" s="3">
        <v>2897</v>
      </c>
    </row>
    <row r="2899" spans="1:12" x14ac:dyDescent="0.15">
      <c r="A2899" s="1" t="s">
        <v>908</v>
      </c>
      <c r="B2899" s="1" t="s">
        <v>1142</v>
      </c>
      <c r="D2899" s="1" t="s">
        <v>2249</v>
      </c>
      <c r="E2899" s="1" t="s">
        <v>2250</v>
      </c>
      <c r="F2899" s="3">
        <v>1</v>
      </c>
      <c r="G2899" s="8" t="s">
        <v>2773</v>
      </c>
      <c r="H2899" s="8" t="s">
        <v>5164</v>
      </c>
      <c r="I2899" s="3">
        <v>27</v>
      </c>
      <c r="J2899" s="3" t="s">
        <v>6083</v>
      </c>
      <c r="K2899" s="17" t="str">
        <f>HYPERLINK("http://ictvonline.org/taxonomyHistory.asp?taxnode_id=20173140","ICTVonline=20173140")</f>
        <v>ICTVonline=20173140</v>
      </c>
      <c r="L2899" s="3">
        <v>2898</v>
      </c>
    </row>
    <row r="2900" spans="1:12" x14ac:dyDescent="0.15">
      <c r="A2900" s="1" t="s">
        <v>908</v>
      </c>
      <c r="B2900" s="1" t="s">
        <v>1142</v>
      </c>
      <c r="D2900" s="1" t="s">
        <v>2249</v>
      </c>
      <c r="E2900" s="1" t="s">
        <v>2251</v>
      </c>
      <c r="F2900" s="3">
        <v>0</v>
      </c>
      <c r="G2900" s="8" t="s">
        <v>2773</v>
      </c>
      <c r="H2900" s="8" t="s">
        <v>5159</v>
      </c>
      <c r="I2900" s="3">
        <v>27</v>
      </c>
      <c r="J2900" s="3" t="s">
        <v>6083</v>
      </c>
      <c r="K2900" s="17" t="str">
        <f>HYPERLINK("http://ictvonline.org/taxonomyHistory.asp?taxnode_id=20173141","ICTVonline=20173141")</f>
        <v>ICTVonline=20173141</v>
      </c>
      <c r="L2900" s="3">
        <v>2899</v>
      </c>
    </row>
    <row r="2901" spans="1:12" x14ac:dyDescent="0.15">
      <c r="A2901" s="1" t="s">
        <v>908</v>
      </c>
      <c r="B2901" s="1" t="s">
        <v>1142</v>
      </c>
      <c r="D2901" s="1" t="s">
        <v>2249</v>
      </c>
      <c r="E2901" s="1" t="s">
        <v>4924</v>
      </c>
      <c r="F2901" s="3">
        <v>0</v>
      </c>
      <c r="G2901" s="8" t="s">
        <v>2773</v>
      </c>
      <c r="H2901" s="8" t="s">
        <v>5159</v>
      </c>
      <c r="I2901" s="3">
        <v>31</v>
      </c>
      <c r="J2901" s="3" t="s">
        <v>6084</v>
      </c>
      <c r="K2901" s="17" t="str">
        <f>HYPERLINK("http://ictvonline.org/taxonomyHistory.asp?taxnode_id=20173142","ICTVonline=20173142")</f>
        <v>ICTVonline=20173142</v>
      </c>
      <c r="L2901" s="3">
        <v>2900</v>
      </c>
    </row>
    <row r="2902" spans="1:12" x14ac:dyDescent="0.15">
      <c r="A2902" s="1" t="s">
        <v>908</v>
      </c>
      <c r="B2902" s="1" t="s">
        <v>1142</v>
      </c>
      <c r="D2902" s="1" t="s">
        <v>2249</v>
      </c>
      <c r="E2902" s="1" t="s">
        <v>4925</v>
      </c>
      <c r="F2902" s="3">
        <v>0</v>
      </c>
      <c r="G2902" s="8" t="s">
        <v>2773</v>
      </c>
      <c r="H2902" s="8" t="s">
        <v>5159</v>
      </c>
      <c r="I2902" s="3">
        <v>31</v>
      </c>
      <c r="J2902" s="3" t="s">
        <v>6084</v>
      </c>
      <c r="K2902" s="17" t="str">
        <f>HYPERLINK("http://ictvonline.org/taxonomyHistory.asp?taxnode_id=20173143","ICTVonline=20173143")</f>
        <v>ICTVonline=20173143</v>
      </c>
      <c r="L2902" s="3">
        <v>2901</v>
      </c>
    </row>
    <row r="2903" spans="1:12" x14ac:dyDescent="0.15">
      <c r="A2903" s="1" t="s">
        <v>908</v>
      </c>
      <c r="B2903" s="1" t="s">
        <v>1142</v>
      </c>
      <c r="D2903" s="1" t="s">
        <v>2249</v>
      </c>
      <c r="E2903" s="1" t="s">
        <v>4926</v>
      </c>
      <c r="F2903" s="3">
        <v>0</v>
      </c>
      <c r="G2903" s="8" t="s">
        <v>2773</v>
      </c>
      <c r="H2903" s="8" t="s">
        <v>5159</v>
      </c>
      <c r="I2903" s="3">
        <v>31</v>
      </c>
      <c r="J2903" s="3" t="s">
        <v>6084</v>
      </c>
      <c r="K2903" s="17" t="str">
        <f>HYPERLINK("http://ictvonline.org/taxonomyHistory.asp?taxnode_id=20173144","ICTVonline=20173144")</f>
        <v>ICTVonline=20173144</v>
      </c>
      <c r="L2903" s="3">
        <v>2902</v>
      </c>
    </row>
    <row r="2904" spans="1:12" x14ac:dyDescent="0.15">
      <c r="A2904" s="1" t="s">
        <v>908</v>
      </c>
      <c r="B2904" s="1" t="s">
        <v>1142</v>
      </c>
      <c r="D2904" s="1" t="s">
        <v>2249</v>
      </c>
      <c r="E2904" s="1" t="s">
        <v>4927</v>
      </c>
      <c r="F2904" s="3">
        <v>0</v>
      </c>
      <c r="G2904" s="8" t="s">
        <v>2773</v>
      </c>
      <c r="H2904" s="8" t="s">
        <v>5159</v>
      </c>
      <c r="I2904" s="3">
        <v>31</v>
      </c>
      <c r="J2904" s="3" t="s">
        <v>6084</v>
      </c>
      <c r="K2904" s="17" t="str">
        <f>HYPERLINK("http://ictvonline.org/taxonomyHistory.asp?taxnode_id=20173145","ICTVonline=20173145")</f>
        <v>ICTVonline=20173145</v>
      </c>
      <c r="L2904" s="3">
        <v>2903</v>
      </c>
    </row>
    <row r="2905" spans="1:12" x14ac:dyDescent="0.15">
      <c r="A2905" s="1" t="s">
        <v>908</v>
      </c>
      <c r="B2905" s="1" t="s">
        <v>1142</v>
      </c>
      <c r="D2905" s="1" t="s">
        <v>2249</v>
      </c>
      <c r="E2905" s="1" t="s">
        <v>4928</v>
      </c>
      <c r="F2905" s="3">
        <v>0</v>
      </c>
      <c r="G2905" s="8" t="s">
        <v>2773</v>
      </c>
      <c r="H2905" s="8" t="s">
        <v>5159</v>
      </c>
      <c r="I2905" s="3">
        <v>31</v>
      </c>
      <c r="J2905" s="3" t="s">
        <v>6084</v>
      </c>
      <c r="K2905" s="17" t="str">
        <f>HYPERLINK("http://ictvonline.org/taxonomyHistory.asp?taxnode_id=20173146","ICTVonline=20173146")</f>
        <v>ICTVonline=20173146</v>
      </c>
      <c r="L2905" s="3">
        <v>2904</v>
      </c>
    </row>
    <row r="2906" spans="1:12" x14ac:dyDescent="0.15">
      <c r="A2906" s="1" t="s">
        <v>908</v>
      </c>
      <c r="B2906" s="1" t="s">
        <v>1142</v>
      </c>
      <c r="D2906" s="1" t="s">
        <v>2249</v>
      </c>
      <c r="E2906" s="1" t="s">
        <v>4929</v>
      </c>
      <c r="F2906" s="3">
        <v>0</v>
      </c>
      <c r="G2906" s="8" t="s">
        <v>2773</v>
      </c>
      <c r="H2906" s="8" t="s">
        <v>5159</v>
      </c>
      <c r="I2906" s="3">
        <v>31</v>
      </c>
      <c r="J2906" s="3" t="s">
        <v>6084</v>
      </c>
      <c r="K2906" s="17" t="str">
        <f>HYPERLINK("http://ictvonline.org/taxonomyHistory.asp?taxnode_id=20173147","ICTVonline=20173147")</f>
        <v>ICTVonline=20173147</v>
      </c>
      <c r="L2906" s="3">
        <v>2905</v>
      </c>
    </row>
    <row r="2907" spans="1:12" x14ac:dyDescent="0.15">
      <c r="A2907" s="1" t="s">
        <v>908</v>
      </c>
      <c r="B2907" s="1" t="s">
        <v>1142</v>
      </c>
      <c r="D2907" s="1" t="s">
        <v>2249</v>
      </c>
      <c r="E2907" s="1" t="s">
        <v>4930</v>
      </c>
      <c r="F2907" s="3">
        <v>0</v>
      </c>
      <c r="G2907" s="8" t="s">
        <v>2773</v>
      </c>
      <c r="H2907" s="8" t="s">
        <v>5159</v>
      </c>
      <c r="I2907" s="3">
        <v>31</v>
      </c>
      <c r="J2907" s="3" t="s">
        <v>6084</v>
      </c>
      <c r="K2907" s="17" t="str">
        <f>HYPERLINK("http://ictvonline.org/taxonomyHistory.asp?taxnode_id=20173148","ICTVonline=20173148")</f>
        <v>ICTVonline=20173148</v>
      </c>
      <c r="L2907" s="3">
        <v>2906</v>
      </c>
    </row>
    <row r="2908" spans="1:12" x14ac:dyDescent="0.15">
      <c r="A2908" s="1" t="s">
        <v>908</v>
      </c>
      <c r="B2908" s="1" t="s">
        <v>1142</v>
      </c>
      <c r="D2908" s="1" t="s">
        <v>2249</v>
      </c>
      <c r="E2908" s="1" t="s">
        <v>4931</v>
      </c>
      <c r="F2908" s="3">
        <v>0</v>
      </c>
      <c r="G2908" s="8" t="s">
        <v>2773</v>
      </c>
      <c r="H2908" s="8" t="s">
        <v>5159</v>
      </c>
      <c r="I2908" s="3">
        <v>31</v>
      </c>
      <c r="J2908" s="3" t="s">
        <v>6084</v>
      </c>
      <c r="K2908" s="17" t="str">
        <f>HYPERLINK("http://ictvonline.org/taxonomyHistory.asp?taxnode_id=20173149","ICTVonline=20173149")</f>
        <v>ICTVonline=20173149</v>
      </c>
      <c r="L2908" s="3">
        <v>2907</v>
      </c>
    </row>
    <row r="2909" spans="1:12" x14ac:dyDescent="0.15">
      <c r="A2909" s="1" t="s">
        <v>908</v>
      </c>
      <c r="B2909" s="1" t="s">
        <v>1142</v>
      </c>
      <c r="D2909" s="1" t="s">
        <v>2249</v>
      </c>
      <c r="E2909" s="1" t="s">
        <v>4932</v>
      </c>
      <c r="F2909" s="3">
        <v>0</v>
      </c>
      <c r="G2909" s="8" t="s">
        <v>2773</v>
      </c>
      <c r="H2909" s="8" t="s">
        <v>5159</v>
      </c>
      <c r="I2909" s="3">
        <v>31</v>
      </c>
      <c r="J2909" s="3" t="s">
        <v>6084</v>
      </c>
      <c r="K2909" s="17" t="str">
        <f>HYPERLINK("http://ictvonline.org/taxonomyHistory.asp?taxnode_id=20173150","ICTVonline=20173150")</f>
        <v>ICTVonline=20173150</v>
      </c>
      <c r="L2909" s="3">
        <v>2908</v>
      </c>
    </row>
    <row r="2910" spans="1:12" x14ac:dyDescent="0.15">
      <c r="A2910" s="1" t="s">
        <v>908</v>
      </c>
      <c r="B2910" s="1" t="s">
        <v>1142</v>
      </c>
      <c r="D2910" s="1" t="s">
        <v>1201</v>
      </c>
      <c r="E2910" s="1" t="s">
        <v>6085</v>
      </c>
      <c r="F2910" s="3">
        <v>1</v>
      </c>
      <c r="G2910" s="8" t="s">
        <v>2773</v>
      </c>
      <c r="H2910" s="8" t="s">
        <v>5162</v>
      </c>
      <c r="I2910" s="3">
        <v>32</v>
      </c>
      <c r="J2910" s="3" t="s">
        <v>6086</v>
      </c>
      <c r="K2910" s="17" t="str">
        <f>HYPERLINK("http://ictvonline.org/taxonomyHistory.asp?taxnode_id=20173153","ICTVonline=20173153")</f>
        <v>ICTVonline=20173153</v>
      </c>
      <c r="L2910" s="3">
        <v>2909</v>
      </c>
    </row>
    <row r="2911" spans="1:12" x14ac:dyDescent="0.15">
      <c r="A2911" s="1" t="s">
        <v>908</v>
      </c>
      <c r="B2911" s="1" t="s">
        <v>1142</v>
      </c>
      <c r="D2911" s="1" t="s">
        <v>1201</v>
      </c>
      <c r="E2911" s="1" t="s">
        <v>6087</v>
      </c>
      <c r="F2911" s="3">
        <v>0</v>
      </c>
      <c r="G2911" s="8" t="s">
        <v>2773</v>
      </c>
      <c r="H2911" s="8" t="s">
        <v>5162</v>
      </c>
      <c r="I2911" s="3">
        <v>32</v>
      </c>
      <c r="J2911" s="3" t="s">
        <v>6086</v>
      </c>
      <c r="K2911" s="17" t="str">
        <f>HYPERLINK("http://ictvonline.org/taxonomyHistory.asp?taxnode_id=20173154","ICTVonline=20173154")</f>
        <v>ICTVonline=20173154</v>
      </c>
      <c r="L2911" s="3">
        <v>2910</v>
      </c>
    </row>
    <row r="2912" spans="1:12" x14ac:dyDescent="0.15">
      <c r="A2912" s="1" t="s">
        <v>908</v>
      </c>
      <c r="B2912" s="1" t="s">
        <v>1142</v>
      </c>
      <c r="D2912" s="1" t="s">
        <v>1201</v>
      </c>
      <c r="E2912" s="1" t="s">
        <v>6088</v>
      </c>
      <c r="F2912" s="3">
        <v>0</v>
      </c>
      <c r="G2912" s="8" t="s">
        <v>2773</v>
      </c>
      <c r="H2912" s="8" t="s">
        <v>5162</v>
      </c>
      <c r="I2912" s="3">
        <v>32</v>
      </c>
      <c r="J2912" s="3" t="s">
        <v>6086</v>
      </c>
      <c r="K2912" s="17" t="str">
        <f>HYPERLINK("http://ictvonline.org/taxonomyHistory.asp?taxnode_id=20173155","ICTVonline=20173155")</f>
        <v>ICTVonline=20173155</v>
      </c>
      <c r="L2912" s="3">
        <v>2911</v>
      </c>
    </row>
    <row r="2913" spans="1:12" x14ac:dyDescent="0.15">
      <c r="A2913" s="1" t="s">
        <v>908</v>
      </c>
      <c r="B2913" s="1" t="s">
        <v>1142</v>
      </c>
      <c r="D2913" s="1" t="s">
        <v>1201</v>
      </c>
      <c r="E2913" s="1" t="s">
        <v>6089</v>
      </c>
      <c r="F2913" s="3">
        <v>0</v>
      </c>
      <c r="G2913" s="8" t="s">
        <v>2773</v>
      </c>
      <c r="H2913" s="8" t="s">
        <v>5162</v>
      </c>
      <c r="I2913" s="3">
        <v>32</v>
      </c>
      <c r="J2913" s="3" t="s">
        <v>6086</v>
      </c>
      <c r="K2913" s="17" t="str">
        <f>HYPERLINK("http://ictvonline.org/taxonomyHistory.asp?taxnode_id=20173152","ICTVonline=20173152")</f>
        <v>ICTVonline=20173152</v>
      </c>
      <c r="L2913" s="3">
        <v>2912</v>
      </c>
    </row>
    <row r="2914" spans="1:12" x14ac:dyDescent="0.15">
      <c r="A2914" s="1" t="s">
        <v>908</v>
      </c>
      <c r="B2914" s="1" t="s">
        <v>1142</v>
      </c>
      <c r="D2914" s="1" t="s">
        <v>1201</v>
      </c>
      <c r="E2914" s="1" t="s">
        <v>6090</v>
      </c>
      <c r="F2914" s="3">
        <v>0</v>
      </c>
      <c r="G2914" s="8" t="s">
        <v>2773</v>
      </c>
      <c r="H2914" s="8" t="s">
        <v>5159</v>
      </c>
      <c r="I2914" s="3">
        <v>32</v>
      </c>
      <c r="J2914" s="3" t="s">
        <v>6086</v>
      </c>
      <c r="K2914" s="17" t="str">
        <f>HYPERLINK("http://ictvonline.org/taxonomyHistory.asp?taxnode_id=20175780","ICTVonline=20175780")</f>
        <v>ICTVonline=20175780</v>
      </c>
      <c r="L2914" s="3">
        <v>2913</v>
      </c>
    </row>
    <row r="2915" spans="1:12" x14ac:dyDescent="0.15">
      <c r="A2915" s="1" t="s">
        <v>908</v>
      </c>
      <c r="B2915" s="1" t="s">
        <v>1142</v>
      </c>
      <c r="D2915" s="1" t="s">
        <v>1201</v>
      </c>
      <c r="E2915" s="1" t="s">
        <v>6091</v>
      </c>
      <c r="F2915" s="3">
        <v>0</v>
      </c>
      <c r="G2915" s="8" t="s">
        <v>2773</v>
      </c>
      <c r="H2915" s="8" t="s">
        <v>5159</v>
      </c>
      <c r="I2915" s="3">
        <v>32</v>
      </c>
      <c r="J2915" s="3" t="s">
        <v>6086</v>
      </c>
      <c r="K2915" s="17" t="str">
        <f>HYPERLINK("http://ictvonline.org/taxonomyHistory.asp?taxnode_id=20175781","ICTVonline=20175781")</f>
        <v>ICTVonline=20175781</v>
      </c>
      <c r="L2915" s="3">
        <v>2914</v>
      </c>
    </row>
    <row r="2916" spans="1:12" x14ac:dyDescent="0.15">
      <c r="A2916" s="1" t="s">
        <v>908</v>
      </c>
      <c r="B2916" s="1" t="s">
        <v>1142</v>
      </c>
      <c r="D2916" s="1" t="s">
        <v>1201</v>
      </c>
      <c r="E2916" s="1" t="s">
        <v>6092</v>
      </c>
      <c r="F2916" s="3">
        <v>0</v>
      </c>
      <c r="G2916" s="8" t="s">
        <v>2773</v>
      </c>
      <c r="H2916" s="8" t="s">
        <v>5159</v>
      </c>
      <c r="I2916" s="3">
        <v>32</v>
      </c>
      <c r="J2916" s="3" t="s">
        <v>6086</v>
      </c>
      <c r="K2916" s="17" t="str">
        <f>HYPERLINK("http://ictvonline.org/taxonomyHistory.asp?taxnode_id=20175782","ICTVonline=20175782")</f>
        <v>ICTVonline=20175782</v>
      </c>
      <c r="L2916" s="3">
        <v>2915</v>
      </c>
    </row>
    <row r="2917" spans="1:12" x14ac:dyDescent="0.15">
      <c r="A2917" s="1" t="s">
        <v>908</v>
      </c>
      <c r="B2917" s="1" t="s">
        <v>1142</v>
      </c>
      <c r="D2917" s="1" t="s">
        <v>1201</v>
      </c>
      <c r="E2917" s="1" t="s">
        <v>6093</v>
      </c>
      <c r="F2917" s="3">
        <v>0</v>
      </c>
      <c r="G2917" s="8" t="s">
        <v>2773</v>
      </c>
      <c r="H2917" s="8" t="s">
        <v>5159</v>
      </c>
      <c r="I2917" s="3">
        <v>32</v>
      </c>
      <c r="J2917" s="3" t="s">
        <v>6086</v>
      </c>
      <c r="K2917" s="17" t="str">
        <f>HYPERLINK("http://ictvonline.org/taxonomyHistory.asp?taxnode_id=20175783","ICTVonline=20175783")</f>
        <v>ICTVonline=20175783</v>
      </c>
      <c r="L2917" s="3">
        <v>2916</v>
      </c>
    </row>
    <row r="2918" spans="1:12" x14ac:dyDescent="0.15">
      <c r="A2918" s="1" t="s">
        <v>908</v>
      </c>
      <c r="B2918" s="1" t="s">
        <v>1142</v>
      </c>
      <c r="D2918" s="1" t="s">
        <v>1201</v>
      </c>
      <c r="E2918" s="1" t="s">
        <v>6094</v>
      </c>
      <c r="F2918" s="3">
        <v>0</v>
      </c>
      <c r="G2918" s="8" t="s">
        <v>2773</v>
      </c>
      <c r="H2918" s="8" t="s">
        <v>5159</v>
      </c>
      <c r="I2918" s="3">
        <v>32</v>
      </c>
      <c r="J2918" s="3" t="s">
        <v>6086</v>
      </c>
      <c r="K2918" s="17" t="str">
        <f>HYPERLINK("http://ictvonline.org/taxonomyHistory.asp?taxnode_id=20175784","ICTVonline=20175784")</f>
        <v>ICTVonline=20175784</v>
      </c>
      <c r="L2918" s="3">
        <v>2917</v>
      </c>
    </row>
    <row r="2919" spans="1:12" x14ac:dyDescent="0.15">
      <c r="A2919" s="1" t="s">
        <v>908</v>
      </c>
      <c r="B2919" s="1" t="s">
        <v>1142</v>
      </c>
      <c r="D2919" s="1" t="s">
        <v>1201</v>
      </c>
      <c r="E2919" s="1" t="s">
        <v>6095</v>
      </c>
      <c r="F2919" s="3">
        <v>0</v>
      </c>
      <c r="G2919" s="8" t="s">
        <v>2773</v>
      </c>
      <c r="H2919" s="8" t="s">
        <v>5159</v>
      </c>
      <c r="I2919" s="3">
        <v>32</v>
      </c>
      <c r="J2919" s="3" t="s">
        <v>6086</v>
      </c>
      <c r="K2919" s="17" t="str">
        <f>HYPERLINK("http://ictvonline.org/taxonomyHistory.asp?taxnode_id=20175785","ICTVonline=20175785")</f>
        <v>ICTVonline=20175785</v>
      </c>
      <c r="L2919" s="3">
        <v>2918</v>
      </c>
    </row>
    <row r="2920" spans="1:12" x14ac:dyDescent="0.15">
      <c r="A2920" s="1" t="s">
        <v>908</v>
      </c>
      <c r="B2920" s="1" t="s">
        <v>1142</v>
      </c>
      <c r="D2920" s="1" t="s">
        <v>1201</v>
      </c>
      <c r="E2920" s="1" t="s">
        <v>6096</v>
      </c>
      <c r="F2920" s="3">
        <v>0</v>
      </c>
      <c r="G2920" s="8" t="s">
        <v>2773</v>
      </c>
      <c r="H2920" s="8" t="s">
        <v>5159</v>
      </c>
      <c r="I2920" s="3">
        <v>32</v>
      </c>
      <c r="J2920" s="3" t="s">
        <v>6086</v>
      </c>
      <c r="K2920" s="17" t="str">
        <f>HYPERLINK("http://ictvonline.org/taxonomyHistory.asp?taxnode_id=20175786","ICTVonline=20175786")</f>
        <v>ICTVonline=20175786</v>
      </c>
      <c r="L2920" s="3">
        <v>2919</v>
      </c>
    </row>
    <row r="2921" spans="1:12" x14ac:dyDescent="0.15">
      <c r="A2921" s="1" t="s">
        <v>908</v>
      </c>
      <c r="B2921" s="1" t="s">
        <v>2108</v>
      </c>
      <c r="D2921" s="1" t="s">
        <v>2252</v>
      </c>
      <c r="E2921" s="1" t="s">
        <v>2109</v>
      </c>
      <c r="F2921" s="3">
        <v>1</v>
      </c>
      <c r="G2921" s="8" t="s">
        <v>2771</v>
      </c>
      <c r="H2921" s="8" t="s">
        <v>5161</v>
      </c>
      <c r="I2921" s="3">
        <v>27</v>
      </c>
      <c r="J2921" s="3" t="s">
        <v>6097</v>
      </c>
      <c r="K2921" s="17" t="str">
        <f>HYPERLINK("http://ictvonline.org/taxonomyHistory.asp?taxnode_id=20173159","ICTVonline=20173159")</f>
        <v>ICTVonline=20173159</v>
      </c>
      <c r="L2921" s="3">
        <v>2920</v>
      </c>
    </row>
    <row r="2922" spans="1:12" x14ac:dyDescent="0.15">
      <c r="A2922" s="1" t="s">
        <v>908</v>
      </c>
      <c r="B2922" s="1" t="s">
        <v>2108</v>
      </c>
      <c r="D2922" s="1" t="s">
        <v>2252</v>
      </c>
      <c r="E2922" s="1" t="s">
        <v>2253</v>
      </c>
      <c r="F2922" s="3">
        <v>0</v>
      </c>
      <c r="G2922" s="8" t="s">
        <v>2771</v>
      </c>
      <c r="H2922" s="8" t="s">
        <v>5159</v>
      </c>
      <c r="I2922" s="3">
        <v>27</v>
      </c>
      <c r="J2922" s="3" t="s">
        <v>6097</v>
      </c>
      <c r="K2922" s="17" t="str">
        <f>HYPERLINK("http://ictvonline.org/taxonomyHistory.asp?taxnode_id=20173160","ICTVonline=20173160")</f>
        <v>ICTVonline=20173160</v>
      </c>
      <c r="L2922" s="3">
        <v>2921</v>
      </c>
    </row>
    <row r="2923" spans="1:12" x14ac:dyDescent="0.15">
      <c r="A2923" s="1" t="s">
        <v>908</v>
      </c>
      <c r="B2923" s="1" t="s">
        <v>2108</v>
      </c>
      <c r="D2923" s="1" t="s">
        <v>2252</v>
      </c>
      <c r="E2923" s="1" t="s">
        <v>2254</v>
      </c>
      <c r="F2923" s="3">
        <v>0</v>
      </c>
      <c r="G2923" s="8" t="s">
        <v>2771</v>
      </c>
      <c r="H2923" s="8" t="s">
        <v>5159</v>
      </c>
      <c r="I2923" s="3">
        <v>27</v>
      </c>
      <c r="J2923" s="3" t="s">
        <v>6097</v>
      </c>
      <c r="K2923" s="17" t="str">
        <f>HYPERLINK("http://ictvonline.org/taxonomyHistory.asp?taxnode_id=20173161","ICTVonline=20173161")</f>
        <v>ICTVonline=20173161</v>
      </c>
      <c r="L2923" s="3">
        <v>2922</v>
      </c>
    </row>
    <row r="2924" spans="1:12" x14ac:dyDescent="0.15">
      <c r="A2924" s="1" t="s">
        <v>908</v>
      </c>
      <c r="B2924" s="1" t="s">
        <v>2108</v>
      </c>
      <c r="D2924" s="1" t="s">
        <v>2252</v>
      </c>
      <c r="E2924" s="1" t="s">
        <v>2255</v>
      </c>
      <c r="F2924" s="3">
        <v>0</v>
      </c>
      <c r="G2924" s="8" t="s">
        <v>2771</v>
      </c>
      <c r="H2924" s="8" t="s">
        <v>5159</v>
      </c>
      <c r="I2924" s="3">
        <v>27</v>
      </c>
      <c r="J2924" s="3" t="s">
        <v>6097</v>
      </c>
      <c r="K2924" s="17" t="str">
        <f>HYPERLINK("http://ictvonline.org/taxonomyHistory.asp?taxnode_id=20173162","ICTVonline=20173162")</f>
        <v>ICTVonline=20173162</v>
      </c>
      <c r="L2924" s="3">
        <v>2923</v>
      </c>
    </row>
    <row r="2925" spans="1:12" x14ac:dyDescent="0.15">
      <c r="A2925" s="1" t="s">
        <v>908</v>
      </c>
      <c r="B2925" s="1" t="s">
        <v>2108</v>
      </c>
      <c r="D2925" s="1" t="s">
        <v>2252</v>
      </c>
      <c r="E2925" s="1" t="s">
        <v>2256</v>
      </c>
      <c r="F2925" s="3">
        <v>0</v>
      </c>
      <c r="G2925" s="8" t="s">
        <v>2771</v>
      </c>
      <c r="H2925" s="8" t="s">
        <v>5159</v>
      </c>
      <c r="I2925" s="3">
        <v>27</v>
      </c>
      <c r="J2925" s="3" t="s">
        <v>6097</v>
      </c>
      <c r="K2925" s="17" t="str">
        <f>HYPERLINK("http://ictvonline.org/taxonomyHistory.asp?taxnode_id=20173163","ICTVonline=20173163")</f>
        <v>ICTVonline=20173163</v>
      </c>
      <c r="L2925" s="3">
        <v>2924</v>
      </c>
    </row>
    <row r="2926" spans="1:12" x14ac:dyDescent="0.15">
      <c r="A2926" s="1" t="s">
        <v>908</v>
      </c>
      <c r="B2926" s="1" t="s">
        <v>2108</v>
      </c>
      <c r="D2926" s="1" t="s">
        <v>2252</v>
      </c>
      <c r="E2926" s="1" t="s">
        <v>2257</v>
      </c>
      <c r="F2926" s="3">
        <v>0</v>
      </c>
      <c r="G2926" s="8" t="s">
        <v>2771</v>
      </c>
      <c r="H2926" s="8" t="s">
        <v>5159</v>
      </c>
      <c r="I2926" s="3">
        <v>27</v>
      </c>
      <c r="J2926" s="3" t="s">
        <v>6097</v>
      </c>
      <c r="K2926" s="17" t="str">
        <f>HYPERLINK("http://ictvonline.org/taxonomyHistory.asp?taxnode_id=20173164","ICTVonline=20173164")</f>
        <v>ICTVonline=20173164</v>
      </c>
      <c r="L2926" s="3">
        <v>2925</v>
      </c>
    </row>
    <row r="2927" spans="1:12" x14ac:dyDescent="0.15">
      <c r="A2927" s="1" t="s">
        <v>908</v>
      </c>
      <c r="B2927" s="1" t="s">
        <v>2108</v>
      </c>
      <c r="D2927" s="1" t="s">
        <v>2252</v>
      </c>
      <c r="E2927" s="1" t="s">
        <v>2258</v>
      </c>
      <c r="F2927" s="3">
        <v>0</v>
      </c>
      <c r="G2927" s="8" t="s">
        <v>2771</v>
      </c>
      <c r="H2927" s="8" t="s">
        <v>5159</v>
      </c>
      <c r="I2927" s="3">
        <v>27</v>
      </c>
      <c r="J2927" s="3" t="s">
        <v>6097</v>
      </c>
      <c r="K2927" s="17" t="str">
        <f>HYPERLINK("http://ictvonline.org/taxonomyHistory.asp?taxnode_id=20173165","ICTVonline=20173165")</f>
        <v>ICTVonline=20173165</v>
      </c>
      <c r="L2927" s="3">
        <v>2926</v>
      </c>
    </row>
    <row r="2928" spans="1:12" x14ac:dyDescent="0.15">
      <c r="A2928" s="1" t="s">
        <v>908</v>
      </c>
      <c r="B2928" s="1" t="s">
        <v>2108</v>
      </c>
      <c r="D2928" s="1" t="s">
        <v>2259</v>
      </c>
      <c r="E2928" s="1" t="s">
        <v>2260</v>
      </c>
      <c r="F2928" s="3">
        <v>0</v>
      </c>
      <c r="G2928" s="8" t="s">
        <v>2771</v>
      </c>
      <c r="H2928" s="8" t="s">
        <v>5159</v>
      </c>
      <c r="I2928" s="3">
        <v>27</v>
      </c>
      <c r="J2928" s="3" t="s">
        <v>6097</v>
      </c>
      <c r="K2928" s="17" t="str">
        <f>HYPERLINK("http://ictvonline.org/taxonomyHistory.asp?taxnode_id=20173167","ICTVonline=20173167")</f>
        <v>ICTVonline=20173167</v>
      </c>
      <c r="L2928" s="3">
        <v>2927</v>
      </c>
    </row>
    <row r="2929" spans="1:12" x14ac:dyDescent="0.15">
      <c r="A2929" s="1" t="s">
        <v>908</v>
      </c>
      <c r="B2929" s="1" t="s">
        <v>2108</v>
      </c>
      <c r="D2929" s="1" t="s">
        <v>2259</v>
      </c>
      <c r="E2929" s="1" t="s">
        <v>2261</v>
      </c>
      <c r="F2929" s="3">
        <v>1</v>
      </c>
      <c r="G2929" s="8" t="s">
        <v>2771</v>
      </c>
      <c r="H2929" s="8" t="s">
        <v>5164</v>
      </c>
      <c r="I2929" s="3">
        <v>27</v>
      </c>
      <c r="J2929" s="3" t="s">
        <v>6097</v>
      </c>
      <c r="K2929" s="17" t="str">
        <f>HYPERLINK("http://ictvonline.org/taxonomyHistory.asp?taxnode_id=20173168","ICTVonline=20173168")</f>
        <v>ICTVonline=20173168</v>
      </c>
      <c r="L2929" s="3">
        <v>2928</v>
      </c>
    </row>
    <row r="2930" spans="1:12" x14ac:dyDescent="0.15">
      <c r="A2930" s="1" t="s">
        <v>908</v>
      </c>
      <c r="B2930" s="1" t="s">
        <v>2110</v>
      </c>
      <c r="D2930" s="1" t="s">
        <v>2262</v>
      </c>
      <c r="E2930" s="1" t="s">
        <v>2168</v>
      </c>
      <c r="F2930" s="3">
        <v>1</v>
      </c>
      <c r="G2930" s="8" t="s">
        <v>3895</v>
      </c>
      <c r="H2930" s="8" t="s">
        <v>5165</v>
      </c>
      <c r="I2930" s="3">
        <v>27</v>
      </c>
      <c r="J2930" s="3" t="s">
        <v>6098</v>
      </c>
      <c r="K2930" s="17" t="str">
        <f>HYPERLINK("http://ictvonline.org/taxonomyHistory.asp?taxnode_id=20173172","ICTVonline=20173172")</f>
        <v>ICTVonline=20173172</v>
      </c>
      <c r="L2930" s="3">
        <v>2929</v>
      </c>
    </row>
    <row r="2931" spans="1:12" x14ac:dyDescent="0.15">
      <c r="A2931" s="1" t="s">
        <v>908</v>
      </c>
      <c r="B2931" s="1" t="s">
        <v>2110</v>
      </c>
      <c r="D2931" s="1" t="s">
        <v>2262</v>
      </c>
      <c r="E2931" s="1" t="s">
        <v>2263</v>
      </c>
      <c r="F2931" s="3">
        <v>0</v>
      </c>
      <c r="G2931" s="8" t="s">
        <v>3895</v>
      </c>
      <c r="H2931" s="8" t="s">
        <v>5159</v>
      </c>
      <c r="I2931" s="3">
        <v>27</v>
      </c>
      <c r="J2931" s="3" t="s">
        <v>6098</v>
      </c>
      <c r="K2931" s="17" t="str">
        <f>HYPERLINK("http://ictvonline.org/taxonomyHistory.asp?taxnode_id=20173173","ICTVonline=20173173")</f>
        <v>ICTVonline=20173173</v>
      </c>
      <c r="L2931" s="3">
        <v>2930</v>
      </c>
    </row>
    <row r="2932" spans="1:12" x14ac:dyDescent="0.15">
      <c r="A2932" s="1" t="s">
        <v>908</v>
      </c>
      <c r="B2932" s="1" t="s">
        <v>2110</v>
      </c>
      <c r="D2932" s="1" t="s">
        <v>2111</v>
      </c>
      <c r="E2932" s="1" t="s">
        <v>3911</v>
      </c>
      <c r="F2932" s="3">
        <v>0</v>
      </c>
      <c r="G2932" s="8" t="s">
        <v>3895</v>
      </c>
      <c r="H2932" s="8" t="s">
        <v>5159</v>
      </c>
      <c r="I2932" s="3">
        <v>30</v>
      </c>
      <c r="J2932" s="3" t="s">
        <v>6099</v>
      </c>
      <c r="K2932" s="17" t="str">
        <f>HYPERLINK("http://ictvonline.org/taxonomyHistory.asp?taxnode_id=20173175","ICTVonline=20173175")</f>
        <v>ICTVonline=20173175</v>
      </c>
      <c r="L2932" s="3">
        <v>2931</v>
      </c>
    </row>
    <row r="2933" spans="1:12" x14ac:dyDescent="0.15">
      <c r="A2933" s="1" t="s">
        <v>908</v>
      </c>
      <c r="B2933" s="1" t="s">
        <v>2110</v>
      </c>
      <c r="D2933" s="1" t="s">
        <v>2111</v>
      </c>
      <c r="E2933" s="1" t="s">
        <v>2403</v>
      </c>
      <c r="F2933" s="3">
        <v>0</v>
      </c>
      <c r="G2933" s="8" t="s">
        <v>3895</v>
      </c>
      <c r="H2933" s="8" t="s">
        <v>5159</v>
      </c>
      <c r="I2933" s="3">
        <v>28</v>
      </c>
      <c r="J2933" s="3" t="s">
        <v>6100</v>
      </c>
      <c r="K2933" s="17" t="str">
        <f>HYPERLINK("http://ictvonline.org/taxonomyHistory.asp?taxnode_id=20173176","ICTVonline=20173176")</f>
        <v>ICTVonline=20173176</v>
      </c>
      <c r="L2933" s="3">
        <v>2932</v>
      </c>
    </row>
    <row r="2934" spans="1:12" x14ac:dyDescent="0.15">
      <c r="A2934" s="1" t="s">
        <v>908</v>
      </c>
      <c r="B2934" s="1" t="s">
        <v>2110</v>
      </c>
      <c r="D2934" s="1" t="s">
        <v>2111</v>
      </c>
      <c r="E2934" s="1" t="s">
        <v>2404</v>
      </c>
      <c r="F2934" s="3">
        <v>0</v>
      </c>
      <c r="G2934" s="8" t="s">
        <v>3895</v>
      </c>
      <c r="H2934" s="8" t="s">
        <v>5159</v>
      </c>
      <c r="I2934" s="3">
        <v>28</v>
      </c>
      <c r="J2934" s="3" t="s">
        <v>6100</v>
      </c>
      <c r="K2934" s="17" t="str">
        <f>HYPERLINK("http://ictvonline.org/taxonomyHistory.asp?taxnode_id=20173177","ICTVonline=20173177")</f>
        <v>ICTVonline=20173177</v>
      </c>
      <c r="L2934" s="3">
        <v>2933</v>
      </c>
    </row>
    <row r="2935" spans="1:12" x14ac:dyDescent="0.15">
      <c r="A2935" s="1" t="s">
        <v>908</v>
      </c>
      <c r="B2935" s="1" t="s">
        <v>2110</v>
      </c>
      <c r="D2935" s="1" t="s">
        <v>2111</v>
      </c>
      <c r="E2935" s="1" t="s">
        <v>2112</v>
      </c>
      <c r="F2935" s="3">
        <v>0</v>
      </c>
      <c r="G2935" s="8" t="s">
        <v>3895</v>
      </c>
      <c r="H2935" s="8" t="s">
        <v>5161</v>
      </c>
      <c r="I2935" s="3">
        <v>16</v>
      </c>
      <c r="J2935" s="3" t="s">
        <v>6032</v>
      </c>
      <c r="K2935" s="17" t="str">
        <f>HYPERLINK("http://ictvonline.org/taxonomyHistory.asp?taxnode_id=20173178","ICTVonline=20173178")</f>
        <v>ICTVonline=20173178</v>
      </c>
      <c r="L2935" s="3">
        <v>2934</v>
      </c>
    </row>
    <row r="2936" spans="1:12" x14ac:dyDescent="0.15">
      <c r="A2936" s="1" t="s">
        <v>908</v>
      </c>
      <c r="B2936" s="1" t="s">
        <v>2110</v>
      </c>
      <c r="D2936" s="1" t="s">
        <v>2111</v>
      </c>
      <c r="E2936" s="1" t="s">
        <v>2002</v>
      </c>
      <c r="F2936" s="3">
        <v>0</v>
      </c>
      <c r="G2936" s="8" t="s">
        <v>3895</v>
      </c>
      <c r="H2936" s="8" t="s">
        <v>5161</v>
      </c>
      <c r="I2936" s="3">
        <v>16</v>
      </c>
      <c r="J2936" s="3" t="s">
        <v>6032</v>
      </c>
      <c r="K2936" s="17" t="str">
        <f>HYPERLINK("http://ictvonline.org/taxonomyHistory.asp?taxnode_id=20173179","ICTVonline=20173179")</f>
        <v>ICTVonline=20173179</v>
      </c>
      <c r="L2936" s="3">
        <v>2935</v>
      </c>
    </row>
    <row r="2937" spans="1:12" x14ac:dyDescent="0.15">
      <c r="A2937" s="1" t="s">
        <v>908</v>
      </c>
      <c r="B2937" s="1" t="s">
        <v>2110</v>
      </c>
      <c r="D2937" s="1" t="s">
        <v>2111</v>
      </c>
      <c r="E2937" s="1" t="s">
        <v>2003</v>
      </c>
      <c r="F2937" s="3">
        <v>0</v>
      </c>
      <c r="G2937" s="8" t="s">
        <v>3895</v>
      </c>
      <c r="H2937" s="8" t="s">
        <v>5159</v>
      </c>
      <c r="I2937" s="3">
        <v>22</v>
      </c>
      <c r="J2937" s="3" t="s">
        <v>6101</v>
      </c>
      <c r="K2937" s="17" t="str">
        <f>HYPERLINK("http://ictvonline.org/taxonomyHistory.asp?taxnode_id=20173180","ICTVonline=20173180")</f>
        <v>ICTVonline=20173180</v>
      </c>
      <c r="L2937" s="3">
        <v>2936</v>
      </c>
    </row>
    <row r="2938" spans="1:12" x14ac:dyDescent="0.15">
      <c r="A2938" s="1" t="s">
        <v>908</v>
      </c>
      <c r="B2938" s="1" t="s">
        <v>2110</v>
      </c>
      <c r="D2938" s="1" t="s">
        <v>2111</v>
      </c>
      <c r="E2938" s="1" t="s">
        <v>2004</v>
      </c>
      <c r="F2938" s="3">
        <v>0</v>
      </c>
      <c r="G2938" s="8" t="s">
        <v>3895</v>
      </c>
      <c r="H2938" s="8" t="s">
        <v>5159</v>
      </c>
      <c r="I2938" s="3">
        <v>24</v>
      </c>
      <c r="J2938" s="3" t="s">
        <v>6102</v>
      </c>
      <c r="K2938" s="17" t="str">
        <f>HYPERLINK("http://ictvonline.org/taxonomyHistory.asp?taxnode_id=20173181","ICTVonline=20173181")</f>
        <v>ICTVonline=20173181</v>
      </c>
      <c r="L2938" s="3">
        <v>2937</v>
      </c>
    </row>
    <row r="2939" spans="1:12" x14ac:dyDescent="0.15">
      <c r="A2939" s="1" t="s">
        <v>908</v>
      </c>
      <c r="B2939" s="1" t="s">
        <v>2110</v>
      </c>
      <c r="D2939" s="1" t="s">
        <v>2111</v>
      </c>
      <c r="E2939" s="1" t="s">
        <v>2005</v>
      </c>
      <c r="F2939" s="3">
        <v>0</v>
      </c>
      <c r="G2939" s="8" t="s">
        <v>3895</v>
      </c>
      <c r="H2939" s="8" t="s">
        <v>5159</v>
      </c>
      <c r="I2939" s="3">
        <v>24</v>
      </c>
      <c r="J2939" s="3" t="s">
        <v>6103</v>
      </c>
      <c r="K2939" s="17" t="str">
        <f>HYPERLINK("http://ictvonline.org/taxonomyHistory.asp?taxnode_id=20173182","ICTVonline=20173182")</f>
        <v>ICTVonline=20173182</v>
      </c>
      <c r="L2939" s="3">
        <v>2938</v>
      </c>
    </row>
    <row r="2940" spans="1:12" x14ac:dyDescent="0.15">
      <c r="A2940" s="1" t="s">
        <v>908</v>
      </c>
      <c r="B2940" s="1" t="s">
        <v>2110</v>
      </c>
      <c r="D2940" s="1" t="s">
        <v>2111</v>
      </c>
      <c r="E2940" s="1" t="s">
        <v>2006</v>
      </c>
      <c r="F2940" s="3">
        <v>0</v>
      </c>
      <c r="G2940" s="8" t="s">
        <v>3895</v>
      </c>
      <c r="H2940" s="8" t="s">
        <v>5159</v>
      </c>
      <c r="I2940" s="3">
        <v>22</v>
      </c>
      <c r="J2940" s="3" t="s">
        <v>6101</v>
      </c>
      <c r="K2940" s="17" t="str">
        <f>HYPERLINK("http://ictvonline.org/taxonomyHistory.asp?taxnode_id=20173183","ICTVonline=20173183")</f>
        <v>ICTVonline=20173183</v>
      </c>
      <c r="L2940" s="3">
        <v>2939</v>
      </c>
    </row>
    <row r="2941" spans="1:12" x14ac:dyDescent="0.15">
      <c r="A2941" s="1" t="s">
        <v>908</v>
      </c>
      <c r="B2941" s="1" t="s">
        <v>2110</v>
      </c>
      <c r="D2941" s="1" t="s">
        <v>2111</v>
      </c>
      <c r="E2941" s="1" t="s">
        <v>2007</v>
      </c>
      <c r="F2941" s="3">
        <v>0</v>
      </c>
      <c r="G2941" s="8" t="s">
        <v>3895</v>
      </c>
      <c r="H2941" s="8" t="s">
        <v>5171</v>
      </c>
      <c r="I2941" s="3">
        <v>24</v>
      </c>
      <c r="J2941" s="3" t="s">
        <v>6104</v>
      </c>
      <c r="K2941" s="17" t="str">
        <f>HYPERLINK("http://ictvonline.org/taxonomyHistory.asp?taxnode_id=20173184","ICTVonline=20173184")</f>
        <v>ICTVonline=20173184</v>
      </c>
      <c r="L2941" s="3">
        <v>2940</v>
      </c>
    </row>
    <row r="2942" spans="1:12" x14ac:dyDescent="0.15">
      <c r="A2942" s="1" t="s">
        <v>908</v>
      </c>
      <c r="B2942" s="1" t="s">
        <v>2110</v>
      </c>
      <c r="D2942" s="1" t="s">
        <v>2111</v>
      </c>
      <c r="E2942" s="1" t="s">
        <v>2405</v>
      </c>
      <c r="F2942" s="3">
        <v>0</v>
      </c>
      <c r="G2942" s="8" t="s">
        <v>3895</v>
      </c>
      <c r="H2942" s="8" t="s">
        <v>5159</v>
      </c>
      <c r="I2942" s="3">
        <v>28</v>
      </c>
      <c r="J2942" s="3" t="s">
        <v>6100</v>
      </c>
      <c r="K2942" s="17" t="str">
        <f>HYPERLINK("http://ictvonline.org/taxonomyHistory.asp?taxnode_id=20173185","ICTVonline=20173185")</f>
        <v>ICTVonline=20173185</v>
      </c>
      <c r="L2942" s="3">
        <v>2941</v>
      </c>
    </row>
    <row r="2943" spans="1:12" x14ac:dyDescent="0.15">
      <c r="A2943" s="1" t="s">
        <v>908</v>
      </c>
      <c r="B2943" s="1" t="s">
        <v>2110</v>
      </c>
      <c r="D2943" s="1" t="s">
        <v>2111</v>
      </c>
      <c r="E2943" s="1" t="s">
        <v>6105</v>
      </c>
      <c r="F2943" s="3">
        <v>0</v>
      </c>
      <c r="G2943" s="8" t="s">
        <v>3895</v>
      </c>
      <c r="H2943" s="8" t="s">
        <v>5159</v>
      </c>
      <c r="I2943" s="3">
        <v>32</v>
      </c>
      <c r="J2943" s="3" t="s">
        <v>6106</v>
      </c>
      <c r="K2943" s="17" t="str">
        <f>HYPERLINK("http://ictvonline.org/taxonomyHistory.asp?taxnode_id=20175787","ICTVonline=20175787")</f>
        <v>ICTVonline=20175787</v>
      </c>
      <c r="L2943" s="3">
        <v>2942</v>
      </c>
    </row>
    <row r="2944" spans="1:12" x14ac:dyDescent="0.15">
      <c r="A2944" s="1" t="s">
        <v>908</v>
      </c>
      <c r="B2944" s="1" t="s">
        <v>2110</v>
      </c>
      <c r="D2944" s="1" t="s">
        <v>2111</v>
      </c>
      <c r="E2944" s="1" t="s">
        <v>2008</v>
      </c>
      <c r="F2944" s="3">
        <v>0</v>
      </c>
      <c r="G2944" s="8" t="s">
        <v>3895</v>
      </c>
      <c r="H2944" s="8" t="s">
        <v>5159</v>
      </c>
      <c r="I2944" s="3">
        <v>24</v>
      </c>
      <c r="J2944" s="3" t="s">
        <v>6107</v>
      </c>
      <c r="K2944" s="17" t="str">
        <f>HYPERLINK("http://ictvonline.org/taxonomyHistory.asp?taxnode_id=20173186","ICTVonline=20173186")</f>
        <v>ICTVonline=20173186</v>
      </c>
      <c r="L2944" s="3">
        <v>2943</v>
      </c>
    </row>
    <row r="2945" spans="1:12" x14ac:dyDescent="0.15">
      <c r="A2945" s="1" t="s">
        <v>908</v>
      </c>
      <c r="B2945" s="1" t="s">
        <v>2110</v>
      </c>
      <c r="D2945" s="1" t="s">
        <v>2111</v>
      </c>
      <c r="E2945" s="1" t="s">
        <v>6108</v>
      </c>
      <c r="F2945" s="3">
        <v>0</v>
      </c>
      <c r="G2945" s="8" t="s">
        <v>3895</v>
      </c>
      <c r="H2945" s="8" t="s">
        <v>5159</v>
      </c>
      <c r="I2945" s="3">
        <v>32</v>
      </c>
      <c r="J2945" s="3" t="s">
        <v>6106</v>
      </c>
      <c r="K2945" s="17" t="str">
        <f>HYPERLINK("http://ictvonline.org/taxonomyHistory.asp?taxnode_id=20175788","ICTVonline=20175788")</f>
        <v>ICTVonline=20175788</v>
      </c>
      <c r="L2945" s="3">
        <v>2944</v>
      </c>
    </row>
    <row r="2946" spans="1:12" x14ac:dyDescent="0.15">
      <c r="A2946" s="1" t="s">
        <v>908</v>
      </c>
      <c r="B2946" s="1" t="s">
        <v>2110</v>
      </c>
      <c r="D2946" s="1" t="s">
        <v>2111</v>
      </c>
      <c r="E2946" s="1" t="s">
        <v>6109</v>
      </c>
      <c r="F2946" s="3">
        <v>0</v>
      </c>
      <c r="G2946" s="8" t="s">
        <v>3895</v>
      </c>
      <c r="H2946" s="8" t="s">
        <v>5159</v>
      </c>
      <c r="I2946" s="3">
        <v>32</v>
      </c>
      <c r="J2946" s="3" t="s">
        <v>6106</v>
      </c>
      <c r="K2946" s="17" t="str">
        <f>HYPERLINK("http://ictvonline.org/taxonomyHistory.asp?taxnode_id=20175789","ICTVonline=20175789")</f>
        <v>ICTVonline=20175789</v>
      </c>
      <c r="L2946" s="3">
        <v>2945</v>
      </c>
    </row>
    <row r="2947" spans="1:12" x14ac:dyDescent="0.15">
      <c r="A2947" s="1" t="s">
        <v>908</v>
      </c>
      <c r="B2947" s="1" t="s">
        <v>2110</v>
      </c>
      <c r="D2947" s="1" t="s">
        <v>2111</v>
      </c>
      <c r="E2947" s="1" t="s">
        <v>2009</v>
      </c>
      <c r="F2947" s="3">
        <v>0</v>
      </c>
      <c r="G2947" s="8" t="s">
        <v>3895</v>
      </c>
      <c r="H2947" s="8" t="s">
        <v>5161</v>
      </c>
      <c r="I2947" s="3">
        <v>16</v>
      </c>
      <c r="J2947" s="3" t="s">
        <v>6032</v>
      </c>
      <c r="K2947" s="17" t="str">
        <f>HYPERLINK("http://ictvonline.org/taxonomyHistory.asp?taxnode_id=20173187","ICTVonline=20173187")</f>
        <v>ICTVonline=20173187</v>
      </c>
      <c r="L2947" s="3">
        <v>2946</v>
      </c>
    </row>
    <row r="2948" spans="1:12" x14ac:dyDescent="0.15">
      <c r="A2948" s="1" t="s">
        <v>908</v>
      </c>
      <c r="B2948" s="1" t="s">
        <v>2110</v>
      </c>
      <c r="D2948" s="1" t="s">
        <v>2111</v>
      </c>
      <c r="E2948" s="1" t="s">
        <v>2406</v>
      </c>
      <c r="F2948" s="3">
        <v>0</v>
      </c>
      <c r="G2948" s="8" t="s">
        <v>3895</v>
      </c>
      <c r="H2948" s="8" t="s">
        <v>5159</v>
      </c>
      <c r="I2948" s="3">
        <v>28</v>
      </c>
      <c r="J2948" s="3" t="s">
        <v>6100</v>
      </c>
      <c r="K2948" s="17" t="str">
        <f>HYPERLINK("http://ictvonline.org/taxonomyHistory.asp?taxnode_id=20173188","ICTVonline=20173188")</f>
        <v>ICTVonline=20173188</v>
      </c>
      <c r="L2948" s="3">
        <v>2947</v>
      </c>
    </row>
    <row r="2949" spans="1:12" x14ac:dyDescent="0.15">
      <c r="A2949" s="1" t="s">
        <v>908</v>
      </c>
      <c r="B2949" s="1" t="s">
        <v>2110</v>
      </c>
      <c r="D2949" s="1" t="s">
        <v>2111</v>
      </c>
      <c r="E2949" s="1" t="s">
        <v>2010</v>
      </c>
      <c r="F2949" s="3">
        <v>0</v>
      </c>
      <c r="G2949" s="8" t="s">
        <v>3895</v>
      </c>
      <c r="H2949" s="8" t="s">
        <v>5161</v>
      </c>
      <c r="I2949" s="3">
        <v>16</v>
      </c>
      <c r="J2949" s="3" t="s">
        <v>6032</v>
      </c>
      <c r="K2949" s="17" t="str">
        <f>HYPERLINK("http://ictvonline.org/taxonomyHistory.asp?taxnode_id=20173189","ICTVonline=20173189")</f>
        <v>ICTVonline=20173189</v>
      </c>
      <c r="L2949" s="3">
        <v>2948</v>
      </c>
    </row>
    <row r="2950" spans="1:12" x14ac:dyDescent="0.15">
      <c r="A2950" s="1" t="s">
        <v>908</v>
      </c>
      <c r="B2950" s="1" t="s">
        <v>2110</v>
      </c>
      <c r="D2950" s="1" t="s">
        <v>2111</v>
      </c>
      <c r="E2950" s="1" t="s">
        <v>276</v>
      </c>
      <c r="F2950" s="3">
        <v>0</v>
      </c>
      <c r="G2950" s="8" t="s">
        <v>3895</v>
      </c>
      <c r="H2950" s="8" t="s">
        <v>5162</v>
      </c>
      <c r="I2950" s="3">
        <v>23</v>
      </c>
      <c r="J2950" s="3" t="s">
        <v>6020</v>
      </c>
      <c r="K2950" s="17" t="str">
        <f>HYPERLINK("http://ictvonline.org/taxonomyHistory.asp?taxnode_id=20173190","ICTVonline=20173190")</f>
        <v>ICTVonline=20173190</v>
      </c>
      <c r="L2950" s="3">
        <v>2949</v>
      </c>
    </row>
    <row r="2951" spans="1:12" x14ac:dyDescent="0.15">
      <c r="A2951" s="1" t="s">
        <v>908</v>
      </c>
      <c r="B2951" s="1" t="s">
        <v>2110</v>
      </c>
      <c r="D2951" s="1" t="s">
        <v>2111</v>
      </c>
      <c r="E2951" s="1" t="s">
        <v>277</v>
      </c>
      <c r="F2951" s="3">
        <v>1</v>
      </c>
      <c r="G2951" s="8" t="s">
        <v>3895</v>
      </c>
      <c r="H2951" s="8" t="s">
        <v>5162</v>
      </c>
      <c r="I2951" s="3">
        <v>23</v>
      </c>
      <c r="J2951" s="3" t="s">
        <v>6020</v>
      </c>
      <c r="K2951" s="17" t="str">
        <f>HYPERLINK("http://ictvonline.org/taxonomyHistory.asp?taxnode_id=20173191","ICTVonline=20173191")</f>
        <v>ICTVonline=20173191</v>
      </c>
      <c r="L2951" s="3">
        <v>2950</v>
      </c>
    </row>
    <row r="2952" spans="1:12" x14ac:dyDescent="0.15">
      <c r="A2952" s="1" t="s">
        <v>908</v>
      </c>
      <c r="B2952" s="1" t="s">
        <v>2110</v>
      </c>
      <c r="D2952" s="1" t="s">
        <v>2111</v>
      </c>
      <c r="E2952" s="1" t="s">
        <v>6110</v>
      </c>
      <c r="F2952" s="3">
        <v>0</v>
      </c>
      <c r="G2952" s="8" t="s">
        <v>3895</v>
      </c>
      <c r="H2952" s="8" t="s">
        <v>5159</v>
      </c>
      <c r="I2952" s="3">
        <v>32</v>
      </c>
      <c r="J2952" s="3" t="s">
        <v>6106</v>
      </c>
      <c r="K2952" s="17" t="str">
        <f>HYPERLINK("http://ictvonline.org/taxonomyHistory.asp?taxnode_id=20175790","ICTVonline=20175790")</f>
        <v>ICTVonline=20175790</v>
      </c>
      <c r="L2952" s="3">
        <v>2951</v>
      </c>
    </row>
    <row r="2953" spans="1:12" x14ac:dyDescent="0.15">
      <c r="A2953" s="1" t="s">
        <v>908</v>
      </c>
      <c r="B2953" s="1" t="s">
        <v>2110</v>
      </c>
      <c r="D2953" s="1" t="s">
        <v>2111</v>
      </c>
      <c r="E2953" s="1" t="s">
        <v>2407</v>
      </c>
      <c r="F2953" s="3">
        <v>0</v>
      </c>
      <c r="G2953" s="8" t="s">
        <v>3895</v>
      </c>
      <c r="H2953" s="8" t="s">
        <v>5159</v>
      </c>
      <c r="I2953" s="3">
        <v>28</v>
      </c>
      <c r="J2953" s="3" t="s">
        <v>6100</v>
      </c>
      <c r="K2953" s="17" t="str">
        <f>HYPERLINK("http://ictvonline.org/taxonomyHistory.asp?taxnode_id=20173192","ICTVonline=20173192")</f>
        <v>ICTVonline=20173192</v>
      </c>
      <c r="L2953" s="3">
        <v>2952</v>
      </c>
    </row>
    <row r="2954" spans="1:12" x14ac:dyDescent="0.15">
      <c r="A2954" s="1" t="s">
        <v>908</v>
      </c>
      <c r="B2954" s="1" t="s">
        <v>2110</v>
      </c>
      <c r="D2954" s="1" t="s">
        <v>2111</v>
      </c>
      <c r="E2954" s="1" t="s">
        <v>2408</v>
      </c>
      <c r="F2954" s="3">
        <v>0</v>
      </c>
      <c r="G2954" s="8" t="s">
        <v>3895</v>
      </c>
      <c r="H2954" s="8" t="s">
        <v>5159</v>
      </c>
      <c r="I2954" s="3">
        <v>28</v>
      </c>
      <c r="J2954" s="3" t="s">
        <v>6100</v>
      </c>
      <c r="K2954" s="17" t="str">
        <f>HYPERLINK("http://ictvonline.org/taxonomyHistory.asp?taxnode_id=20173193","ICTVonline=20173193")</f>
        <v>ICTVonline=20173193</v>
      </c>
      <c r="L2954" s="3">
        <v>2953</v>
      </c>
    </row>
    <row r="2955" spans="1:12" x14ac:dyDescent="0.15">
      <c r="A2955" s="1" t="s">
        <v>908</v>
      </c>
      <c r="B2955" s="1" t="s">
        <v>2110</v>
      </c>
      <c r="D2955" s="1" t="s">
        <v>2111</v>
      </c>
      <c r="E2955" s="1" t="s">
        <v>2409</v>
      </c>
      <c r="F2955" s="3">
        <v>0</v>
      </c>
      <c r="G2955" s="8" t="s">
        <v>3895</v>
      </c>
      <c r="H2955" s="8" t="s">
        <v>5159</v>
      </c>
      <c r="I2955" s="3">
        <v>28</v>
      </c>
      <c r="J2955" s="3" t="s">
        <v>6100</v>
      </c>
      <c r="K2955" s="17" t="str">
        <f>HYPERLINK("http://ictvonline.org/taxonomyHistory.asp?taxnode_id=20173194","ICTVonline=20173194")</f>
        <v>ICTVonline=20173194</v>
      </c>
      <c r="L2955" s="3">
        <v>2954</v>
      </c>
    </row>
    <row r="2956" spans="1:12" x14ac:dyDescent="0.15">
      <c r="A2956" s="1" t="s">
        <v>908</v>
      </c>
      <c r="B2956" s="1" t="s">
        <v>2110</v>
      </c>
      <c r="D2956" s="1" t="s">
        <v>2111</v>
      </c>
      <c r="E2956" s="1" t="s">
        <v>278</v>
      </c>
      <c r="F2956" s="3">
        <v>0</v>
      </c>
      <c r="G2956" s="8" t="s">
        <v>3895</v>
      </c>
      <c r="H2956" s="8" t="s">
        <v>5161</v>
      </c>
      <c r="I2956" s="3">
        <v>16</v>
      </c>
      <c r="J2956" s="3" t="s">
        <v>6032</v>
      </c>
      <c r="K2956" s="17" t="str">
        <f>HYPERLINK("http://ictvonline.org/taxonomyHistory.asp?taxnode_id=20173195","ICTVonline=20173195")</f>
        <v>ICTVonline=20173195</v>
      </c>
      <c r="L2956" s="3">
        <v>2955</v>
      </c>
    </row>
    <row r="2957" spans="1:12" x14ac:dyDescent="0.15">
      <c r="A2957" s="1" t="s">
        <v>908</v>
      </c>
      <c r="B2957" s="1" t="s">
        <v>2110</v>
      </c>
      <c r="D2957" s="1" t="s">
        <v>2111</v>
      </c>
      <c r="E2957" s="1" t="s">
        <v>2410</v>
      </c>
      <c r="F2957" s="3">
        <v>0</v>
      </c>
      <c r="G2957" s="8" t="s">
        <v>3895</v>
      </c>
      <c r="H2957" s="8" t="s">
        <v>5159</v>
      </c>
      <c r="I2957" s="3">
        <v>28</v>
      </c>
      <c r="J2957" s="3" t="s">
        <v>6100</v>
      </c>
      <c r="K2957" s="17" t="str">
        <f>HYPERLINK("http://ictvonline.org/taxonomyHistory.asp?taxnode_id=20173196","ICTVonline=20173196")</f>
        <v>ICTVonline=20173196</v>
      </c>
      <c r="L2957" s="3">
        <v>2956</v>
      </c>
    </row>
    <row r="2958" spans="1:12" x14ac:dyDescent="0.15">
      <c r="A2958" s="1" t="s">
        <v>908</v>
      </c>
      <c r="B2958" s="1" t="s">
        <v>2110</v>
      </c>
      <c r="D2958" s="1" t="s">
        <v>2111</v>
      </c>
      <c r="E2958" s="1" t="s">
        <v>2411</v>
      </c>
      <c r="F2958" s="3">
        <v>0</v>
      </c>
      <c r="G2958" s="8" t="s">
        <v>3895</v>
      </c>
      <c r="H2958" s="8" t="s">
        <v>5159</v>
      </c>
      <c r="I2958" s="3">
        <v>28</v>
      </c>
      <c r="J2958" s="3" t="s">
        <v>6100</v>
      </c>
      <c r="K2958" s="17" t="str">
        <f>HYPERLINK("http://ictvonline.org/taxonomyHistory.asp?taxnode_id=20173197","ICTVonline=20173197")</f>
        <v>ICTVonline=20173197</v>
      </c>
      <c r="L2958" s="3">
        <v>2957</v>
      </c>
    </row>
    <row r="2959" spans="1:12" x14ac:dyDescent="0.15">
      <c r="A2959" s="1" t="s">
        <v>908</v>
      </c>
      <c r="B2959" s="1" t="s">
        <v>2110</v>
      </c>
      <c r="D2959" s="1" t="s">
        <v>2111</v>
      </c>
      <c r="E2959" s="1" t="s">
        <v>279</v>
      </c>
      <c r="F2959" s="3">
        <v>0</v>
      </c>
      <c r="G2959" s="8" t="s">
        <v>3895</v>
      </c>
      <c r="H2959" s="8" t="s">
        <v>5159</v>
      </c>
      <c r="I2959" s="3">
        <v>24</v>
      </c>
      <c r="J2959" s="3" t="s">
        <v>6103</v>
      </c>
      <c r="K2959" s="17" t="str">
        <f>HYPERLINK("http://ictvonline.org/taxonomyHistory.asp?taxnode_id=20173198","ICTVonline=20173198")</f>
        <v>ICTVonline=20173198</v>
      </c>
      <c r="L2959" s="3">
        <v>2958</v>
      </c>
    </row>
    <row r="2960" spans="1:12" x14ac:dyDescent="0.15">
      <c r="A2960" s="1" t="s">
        <v>908</v>
      </c>
      <c r="B2960" s="1" t="s">
        <v>2110</v>
      </c>
      <c r="D2960" s="1" t="s">
        <v>2111</v>
      </c>
      <c r="E2960" s="1" t="s">
        <v>280</v>
      </c>
      <c r="F2960" s="3">
        <v>0</v>
      </c>
      <c r="G2960" s="8" t="s">
        <v>3895</v>
      </c>
      <c r="H2960" s="8" t="s">
        <v>5159</v>
      </c>
      <c r="I2960" s="3">
        <v>24</v>
      </c>
      <c r="J2960" s="3" t="s">
        <v>6107</v>
      </c>
      <c r="K2960" s="17" t="str">
        <f>HYPERLINK("http://ictvonline.org/taxonomyHistory.asp?taxnode_id=20173199","ICTVonline=20173199")</f>
        <v>ICTVonline=20173199</v>
      </c>
      <c r="L2960" s="3">
        <v>2959</v>
      </c>
    </row>
    <row r="2961" spans="1:12" x14ac:dyDescent="0.15">
      <c r="A2961" s="1" t="s">
        <v>908</v>
      </c>
      <c r="B2961" s="1" t="s">
        <v>2110</v>
      </c>
      <c r="D2961" s="1" t="s">
        <v>2111</v>
      </c>
      <c r="E2961" s="1" t="s">
        <v>281</v>
      </c>
      <c r="F2961" s="3">
        <v>0</v>
      </c>
      <c r="G2961" s="8" t="s">
        <v>3895</v>
      </c>
      <c r="H2961" s="8" t="s">
        <v>5159</v>
      </c>
      <c r="I2961" s="3">
        <v>22</v>
      </c>
      <c r="J2961" s="3" t="s">
        <v>6101</v>
      </c>
      <c r="K2961" s="17" t="str">
        <f>HYPERLINK("http://ictvonline.org/taxonomyHistory.asp?taxnode_id=20173200","ICTVonline=20173200")</f>
        <v>ICTVonline=20173200</v>
      </c>
      <c r="L2961" s="3">
        <v>2960</v>
      </c>
    </row>
    <row r="2962" spans="1:12" x14ac:dyDescent="0.15">
      <c r="A2962" s="1" t="s">
        <v>908</v>
      </c>
      <c r="B2962" s="1" t="s">
        <v>2110</v>
      </c>
      <c r="D2962" s="1" t="s">
        <v>2111</v>
      </c>
      <c r="E2962" s="1" t="s">
        <v>3912</v>
      </c>
      <c r="F2962" s="3">
        <v>0</v>
      </c>
      <c r="G2962" s="8" t="s">
        <v>3895</v>
      </c>
      <c r="H2962" s="8" t="s">
        <v>5159</v>
      </c>
      <c r="I2962" s="3">
        <v>30</v>
      </c>
      <c r="J2962" s="3" t="s">
        <v>6099</v>
      </c>
      <c r="K2962" s="17" t="str">
        <f>HYPERLINK("http://ictvonline.org/taxonomyHistory.asp?taxnode_id=20173201","ICTVonline=20173201")</f>
        <v>ICTVonline=20173201</v>
      </c>
      <c r="L2962" s="3">
        <v>2961</v>
      </c>
    </row>
    <row r="2963" spans="1:12" x14ac:dyDescent="0.15">
      <c r="A2963" s="1" t="s">
        <v>908</v>
      </c>
      <c r="B2963" s="1" t="s">
        <v>2110</v>
      </c>
      <c r="D2963" s="1" t="s">
        <v>2111</v>
      </c>
      <c r="E2963" s="1" t="s">
        <v>3913</v>
      </c>
      <c r="F2963" s="3">
        <v>0</v>
      </c>
      <c r="G2963" s="8" t="s">
        <v>3895</v>
      </c>
      <c r="H2963" s="8" t="s">
        <v>5159</v>
      </c>
      <c r="I2963" s="3">
        <v>30</v>
      </c>
      <c r="J2963" s="3" t="s">
        <v>6099</v>
      </c>
      <c r="K2963" s="17" t="str">
        <f>HYPERLINK("http://ictvonline.org/taxonomyHistory.asp?taxnode_id=20173202","ICTVonline=20173202")</f>
        <v>ICTVonline=20173202</v>
      </c>
      <c r="L2963" s="3">
        <v>2962</v>
      </c>
    </row>
    <row r="2964" spans="1:12" x14ac:dyDescent="0.15">
      <c r="A2964" s="1" t="s">
        <v>908</v>
      </c>
      <c r="B2964" s="1" t="s">
        <v>2110</v>
      </c>
      <c r="D2964" s="1" t="s">
        <v>2111</v>
      </c>
      <c r="E2964" s="1" t="s">
        <v>3914</v>
      </c>
      <c r="F2964" s="3">
        <v>0</v>
      </c>
      <c r="G2964" s="8" t="s">
        <v>3895</v>
      </c>
      <c r="H2964" s="8" t="s">
        <v>5159</v>
      </c>
      <c r="I2964" s="3">
        <v>30</v>
      </c>
      <c r="J2964" s="3" t="s">
        <v>6099</v>
      </c>
      <c r="K2964" s="17" t="str">
        <f>HYPERLINK("http://ictvonline.org/taxonomyHistory.asp?taxnode_id=20173203","ICTVonline=20173203")</f>
        <v>ICTVonline=20173203</v>
      </c>
      <c r="L2964" s="3">
        <v>2963</v>
      </c>
    </row>
    <row r="2965" spans="1:12" x14ac:dyDescent="0.15">
      <c r="A2965" s="1" t="s">
        <v>908</v>
      </c>
      <c r="B2965" s="1" t="s">
        <v>2110</v>
      </c>
      <c r="D2965" s="1" t="s">
        <v>2111</v>
      </c>
      <c r="E2965" s="1" t="s">
        <v>2412</v>
      </c>
      <c r="F2965" s="3">
        <v>0</v>
      </c>
      <c r="G2965" s="8" t="s">
        <v>3895</v>
      </c>
      <c r="H2965" s="8" t="s">
        <v>5159</v>
      </c>
      <c r="I2965" s="3">
        <v>28</v>
      </c>
      <c r="J2965" s="3" t="s">
        <v>6100</v>
      </c>
      <c r="K2965" s="17" t="str">
        <f>HYPERLINK("http://ictvonline.org/taxonomyHistory.asp?taxnode_id=20173204","ICTVonline=20173204")</f>
        <v>ICTVonline=20173204</v>
      </c>
      <c r="L2965" s="3">
        <v>2964</v>
      </c>
    </row>
    <row r="2966" spans="1:12" x14ac:dyDescent="0.15">
      <c r="A2966" s="1" t="s">
        <v>908</v>
      </c>
      <c r="B2966" s="1" t="s">
        <v>2110</v>
      </c>
      <c r="D2966" s="1" t="s">
        <v>2111</v>
      </c>
      <c r="E2966" s="1" t="s">
        <v>282</v>
      </c>
      <c r="F2966" s="3">
        <v>0</v>
      </c>
      <c r="G2966" s="8" t="s">
        <v>3895</v>
      </c>
      <c r="H2966" s="8" t="s">
        <v>5162</v>
      </c>
      <c r="I2966" s="3">
        <v>23</v>
      </c>
      <c r="J2966" s="3" t="s">
        <v>6020</v>
      </c>
      <c r="K2966" s="17" t="str">
        <f>HYPERLINK("http://ictvonline.org/taxonomyHistory.asp?taxnode_id=20173205","ICTVonline=20173205")</f>
        <v>ICTVonline=20173205</v>
      </c>
      <c r="L2966" s="3">
        <v>2965</v>
      </c>
    </row>
    <row r="2967" spans="1:12" x14ac:dyDescent="0.15">
      <c r="A2967" s="1" t="s">
        <v>908</v>
      </c>
      <c r="B2967" s="1" t="s">
        <v>2110</v>
      </c>
      <c r="D2967" s="1" t="s">
        <v>2111</v>
      </c>
      <c r="E2967" s="1" t="s">
        <v>3915</v>
      </c>
      <c r="F2967" s="3">
        <v>0</v>
      </c>
      <c r="G2967" s="8" t="s">
        <v>3895</v>
      </c>
      <c r="H2967" s="8" t="s">
        <v>5159</v>
      </c>
      <c r="I2967" s="3">
        <v>30</v>
      </c>
      <c r="J2967" s="3" t="s">
        <v>6099</v>
      </c>
      <c r="K2967" s="17" t="str">
        <f>HYPERLINK("http://ictvonline.org/taxonomyHistory.asp?taxnode_id=20173206","ICTVonline=20173206")</f>
        <v>ICTVonline=20173206</v>
      </c>
      <c r="L2967" s="3">
        <v>2966</v>
      </c>
    </row>
    <row r="2968" spans="1:12" x14ac:dyDescent="0.15">
      <c r="A2968" s="1" t="s">
        <v>908</v>
      </c>
      <c r="B2968" s="1" t="s">
        <v>2110</v>
      </c>
      <c r="D2968" s="1" t="s">
        <v>2111</v>
      </c>
      <c r="E2968" s="1" t="s">
        <v>3916</v>
      </c>
      <c r="F2968" s="3">
        <v>0</v>
      </c>
      <c r="G2968" s="8" t="s">
        <v>3895</v>
      </c>
      <c r="H2968" s="8" t="s">
        <v>5159</v>
      </c>
      <c r="I2968" s="3">
        <v>30</v>
      </c>
      <c r="J2968" s="3" t="s">
        <v>6099</v>
      </c>
      <c r="K2968" s="17" t="str">
        <f>HYPERLINK("http://ictvonline.org/taxonomyHistory.asp?taxnode_id=20173207","ICTVonline=20173207")</f>
        <v>ICTVonline=20173207</v>
      </c>
      <c r="L2968" s="3">
        <v>2967</v>
      </c>
    </row>
    <row r="2969" spans="1:12" x14ac:dyDescent="0.15">
      <c r="A2969" s="1" t="s">
        <v>908</v>
      </c>
      <c r="B2969" s="1" t="s">
        <v>2110</v>
      </c>
      <c r="D2969" s="1" t="s">
        <v>2111</v>
      </c>
      <c r="E2969" s="1" t="s">
        <v>3917</v>
      </c>
      <c r="F2969" s="3">
        <v>0</v>
      </c>
      <c r="G2969" s="8" t="s">
        <v>3895</v>
      </c>
      <c r="H2969" s="8" t="s">
        <v>5159</v>
      </c>
      <c r="I2969" s="3">
        <v>30</v>
      </c>
      <c r="J2969" s="3" t="s">
        <v>6099</v>
      </c>
      <c r="K2969" s="17" t="str">
        <f>HYPERLINK("http://ictvonline.org/taxonomyHistory.asp?taxnode_id=20173208","ICTVonline=20173208")</f>
        <v>ICTVonline=20173208</v>
      </c>
      <c r="L2969" s="3">
        <v>2968</v>
      </c>
    </row>
    <row r="2970" spans="1:12" x14ac:dyDescent="0.15">
      <c r="A2970" s="1" t="s">
        <v>908</v>
      </c>
      <c r="B2970" s="1" t="s">
        <v>2110</v>
      </c>
      <c r="D2970" s="1" t="s">
        <v>2111</v>
      </c>
      <c r="E2970" s="1" t="s">
        <v>3918</v>
      </c>
      <c r="F2970" s="3">
        <v>0</v>
      </c>
      <c r="G2970" s="8" t="s">
        <v>3895</v>
      </c>
      <c r="H2970" s="8" t="s">
        <v>5159</v>
      </c>
      <c r="I2970" s="3">
        <v>30</v>
      </c>
      <c r="J2970" s="3" t="s">
        <v>6099</v>
      </c>
      <c r="K2970" s="17" t="str">
        <f>HYPERLINK("http://ictvonline.org/taxonomyHistory.asp?taxnode_id=20173209","ICTVonline=20173209")</f>
        <v>ICTVonline=20173209</v>
      </c>
      <c r="L2970" s="3">
        <v>2969</v>
      </c>
    </row>
    <row r="2971" spans="1:12" x14ac:dyDescent="0.15">
      <c r="A2971" s="1" t="s">
        <v>908</v>
      </c>
      <c r="B2971" s="1" t="s">
        <v>2110</v>
      </c>
      <c r="D2971" s="1" t="s">
        <v>2111</v>
      </c>
      <c r="E2971" s="1" t="s">
        <v>283</v>
      </c>
      <c r="F2971" s="3">
        <v>0</v>
      </c>
      <c r="G2971" s="8" t="s">
        <v>3895</v>
      </c>
      <c r="H2971" s="8" t="s">
        <v>5159</v>
      </c>
      <c r="I2971" s="3">
        <v>22</v>
      </c>
      <c r="J2971" s="3" t="s">
        <v>6101</v>
      </c>
      <c r="K2971" s="17" t="str">
        <f>HYPERLINK("http://ictvonline.org/taxonomyHistory.asp?taxnode_id=20173210","ICTVonline=20173210")</f>
        <v>ICTVonline=20173210</v>
      </c>
      <c r="L2971" s="3">
        <v>2970</v>
      </c>
    </row>
    <row r="2972" spans="1:12" x14ac:dyDescent="0.15">
      <c r="A2972" s="1" t="s">
        <v>908</v>
      </c>
      <c r="B2972" s="1" t="s">
        <v>2110</v>
      </c>
      <c r="D2972" s="1" t="s">
        <v>2111</v>
      </c>
      <c r="E2972" s="1" t="s">
        <v>2413</v>
      </c>
      <c r="F2972" s="3">
        <v>0</v>
      </c>
      <c r="G2972" s="8" t="s">
        <v>3895</v>
      </c>
      <c r="H2972" s="8" t="s">
        <v>5159</v>
      </c>
      <c r="I2972" s="3">
        <v>28</v>
      </c>
      <c r="J2972" s="3" t="s">
        <v>6100</v>
      </c>
      <c r="K2972" s="17" t="str">
        <f>HYPERLINK("http://ictvonline.org/taxonomyHistory.asp?taxnode_id=20173211","ICTVonline=20173211")</f>
        <v>ICTVonline=20173211</v>
      </c>
      <c r="L2972" s="3">
        <v>2971</v>
      </c>
    </row>
    <row r="2973" spans="1:12" x14ac:dyDescent="0.15">
      <c r="A2973" s="1" t="s">
        <v>908</v>
      </c>
      <c r="B2973" s="1" t="s">
        <v>2110</v>
      </c>
      <c r="D2973" s="1" t="s">
        <v>2111</v>
      </c>
      <c r="E2973" s="1" t="s">
        <v>284</v>
      </c>
      <c r="F2973" s="3">
        <v>0</v>
      </c>
      <c r="G2973" s="8" t="s">
        <v>3895</v>
      </c>
      <c r="H2973" s="8" t="s">
        <v>5162</v>
      </c>
      <c r="I2973" s="3">
        <v>22</v>
      </c>
      <c r="J2973" s="3" t="s">
        <v>6111</v>
      </c>
      <c r="K2973" s="17" t="str">
        <f>HYPERLINK("http://ictvonline.org/taxonomyHistory.asp?taxnode_id=20173212","ICTVonline=20173212")</f>
        <v>ICTVonline=20173212</v>
      </c>
      <c r="L2973" s="3">
        <v>2972</v>
      </c>
    </row>
    <row r="2974" spans="1:12" x14ac:dyDescent="0.15">
      <c r="A2974" s="1" t="s">
        <v>908</v>
      </c>
      <c r="B2974" s="1" t="s">
        <v>2110</v>
      </c>
      <c r="D2974" s="1" t="s">
        <v>2111</v>
      </c>
      <c r="E2974" s="1" t="s">
        <v>2414</v>
      </c>
      <c r="F2974" s="3">
        <v>0</v>
      </c>
      <c r="G2974" s="8" t="s">
        <v>3895</v>
      </c>
      <c r="H2974" s="8" t="s">
        <v>5159</v>
      </c>
      <c r="I2974" s="3">
        <v>28</v>
      </c>
      <c r="J2974" s="3" t="s">
        <v>6100</v>
      </c>
      <c r="K2974" s="17" t="str">
        <f>HYPERLINK("http://ictvonline.org/taxonomyHistory.asp?taxnode_id=20173213","ICTVonline=20173213")</f>
        <v>ICTVonline=20173213</v>
      </c>
      <c r="L2974" s="3">
        <v>2973</v>
      </c>
    </row>
    <row r="2975" spans="1:12" x14ac:dyDescent="0.15">
      <c r="A2975" s="1" t="s">
        <v>908</v>
      </c>
      <c r="B2975" s="1" t="s">
        <v>2110</v>
      </c>
      <c r="D2975" s="1" t="s">
        <v>2111</v>
      </c>
      <c r="E2975" s="1" t="s">
        <v>2415</v>
      </c>
      <c r="F2975" s="3">
        <v>0</v>
      </c>
      <c r="G2975" s="8" t="s">
        <v>3895</v>
      </c>
      <c r="H2975" s="8" t="s">
        <v>5159</v>
      </c>
      <c r="I2975" s="3">
        <v>28</v>
      </c>
      <c r="J2975" s="3" t="s">
        <v>6100</v>
      </c>
      <c r="K2975" s="17" t="str">
        <f>HYPERLINK("http://ictvonline.org/taxonomyHistory.asp?taxnode_id=20173214","ICTVonline=20173214")</f>
        <v>ICTVonline=20173214</v>
      </c>
      <c r="L2975" s="3">
        <v>2974</v>
      </c>
    </row>
    <row r="2976" spans="1:12" x14ac:dyDescent="0.15">
      <c r="A2976" s="1" t="s">
        <v>908</v>
      </c>
      <c r="B2976" s="1" t="s">
        <v>2110</v>
      </c>
      <c r="D2976" s="1" t="s">
        <v>2111</v>
      </c>
      <c r="E2976" s="1" t="s">
        <v>285</v>
      </c>
      <c r="F2976" s="3">
        <v>0</v>
      </c>
      <c r="G2976" s="8" t="s">
        <v>3895</v>
      </c>
      <c r="H2976" s="8" t="s">
        <v>5159</v>
      </c>
      <c r="I2976" s="3">
        <v>24</v>
      </c>
      <c r="J2976" s="3" t="s">
        <v>6103</v>
      </c>
      <c r="K2976" s="17" t="str">
        <f>HYPERLINK("http://ictvonline.org/taxonomyHistory.asp?taxnode_id=20173215","ICTVonline=20173215")</f>
        <v>ICTVonline=20173215</v>
      </c>
      <c r="L2976" s="3">
        <v>2975</v>
      </c>
    </row>
    <row r="2977" spans="1:12" x14ac:dyDescent="0.15">
      <c r="A2977" s="1" t="s">
        <v>908</v>
      </c>
      <c r="B2977" s="1" t="s">
        <v>2110</v>
      </c>
      <c r="D2977" s="1" t="s">
        <v>2111</v>
      </c>
      <c r="E2977" s="1" t="s">
        <v>3919</v>
      </c>
      <c r="F2977" s="3">
        <v>0</v>
      </c>
      <c r="G2977" s="8" t="s">
        <v>3895</v>
      </c>
      <c r="H2977" s="8" t="s">
        <v>5159</v>
      </c>
      <c r="I2977" s="3">
        <v>30</v>
      </c>
      <c r="J2977" s="3" t="s">
        <v>6099</v>
      </c>
      <c r="K2977" s="17" t="str">
        <f>HYPERLINK("http://ictvonline.org/taxonomyHistory.asp?taxnode_id=20173216","ICTVonline=20173216")</f>
        <v>ICTVonline=20173216</v>
      </c>
      <c r="L2977" s="3">
        <v>2976</v>
      </c>
    </row>
    <row r="2978" spans="1:12" x14ac:dyDescent="0.15">
      <c r="A2978" s="1" t="s">
        <v>908</v>
      </c>
      <c r="B2978" s="1" t="s">
        <v>2110</v>
      </c>
      <c r="D2978" s="1" t="s">
        <v>2111</v>
      </c>
      <c r="E2978" s="1" t="s">
        <v>3920</v>
      </c>
      <c r="F2978" s="3">
        <v>0</v>
      </c>
      <c r="G2978" s="8" t="s">
        <v>3895</v>
      </c>
      <c r="H2978" s="8" t="s">
        <v>5159</v>
      </c>
      <c r="I2978" s="3">
        <v>30</v>
      </c>
      <c r="J2978" s="3" t="s">
        <v>6099</v>
      </c>
      <c r="K2978" s="17" t="str">
        <f>HYPERLINK("http://ictvonline.org/taxonomyHistory.asp?taxnode_id=20173217","ICTVonline=20173217")</f>
        <v>ICTVonline=20173217</v>
      </c>
      <c r="L2978" s="3">
        <v>2977</v>
      </c>
    </row>
    <row r="2979" spans="1:12" x14ac:dyDescent="0.15">
      <c r="A2979" s="1" t="s">
        <v>908</v>
      </c>
      <c r="B2979" s="1" t="s">
        <v>2110</v>
      </c>
      <c r="D2979" s="1" t="s">
        <v>2111</v>
      </c>
      <c r="E2979" s="1" t="s">
        <v>3921</v>
      </c>
      <c r="F2979" s="3">
        <v>0</v>
      </c>
      <c r="G2979" s="8" t="s">
        <v>3895</v>
      </c>
      <c r="H2979" s="8" t="s">
        <v>5159</v>
      </c>
      <c r="I2979" s="3">
        <v>30</v>
      </c>
      <c r="J2979" s="3" t="s">
        <v>6099</v>
      </c>
      <c r="K2979" s="17" t="str">
        <f>HYPERLINK("http://ictvonline.org/taxonomyHistory.asp?taxnode_id=20173218","ICTVonline=20173218")</f>
        <v>ICTVonline=20173218</v>
      </c>
      <c r="L2979" s="3">
        <v>2978</v>
      </c>
    </row>
    <row r="2980" spans="1:12" x14ac:dyDescent="0.15">
      <c r="A2980" s="1" t="s">
        <v>908</v>
      </c>
      <c r="B2980" s="1" t="s">
        <v>2110</v>
      </c>
      <c r="D2980" s="1" t="s">
        <v>2111</v>
      </c>
      <c r="E2980" s="1" t="s">
        <v>6112</v>
      </c>
      <c r="F2980" s="3">
        <v>0</v>
      </c>
      <c r="G2980" s="8" t="s">
        <v>3895</v>
      </c>
      <c r="H2980" s="8" t="s">
        <v>5159</v>
      </c>
      <c r="I2980" s="3">
        <v>32</v>
      </c>
      <c r="J2980" s="3" t="s">
        <v>6106</v>
      </c>
      <c r="K2980" s="17" t="str">
        <f>HYPERLINK("http://ictvonline.org/taxonomyHistory.asp?taxnode_id=20175791","ICTVonline=20175791")</f>
        <v>ICTVonline=20175791</v>
      </c>
      <c r="L2980" s="3">
        <v>2979</v>
      </c>
    </row>
    <row r="2981" spans="1:12" x14ac:dyDescent="0.15">
      <c r="A2981" s="1" t="s">
        <v>908</v>
      </c>
      <c r="B2981" s="1" t="s">
        <v>2110</v>
      </c>
      <c r="D2981" s="1" t="s">
        <v>2111</v>
      </c>
      <c r="E2981" s="1" t="s">
        <v>6113</v>
      </c>
      <c r="F2981" s="3">
        <v>0</v>
      </c>
      <c r="G2981" s="8" t="s">
        <v>3895</v>
      </c>
      <c r="H2981" s="8" t="s">
        <v>5159</v>
      </c>
      <c r="I2981" s="3">
        <v>32</v>
      </c>
      <c r="J2981" s="3" t="s">
        <v>6106</v>
      </c>
      <c r="K2981" s="17" t="str">
        <f>HYPERLINK("http://ictvonline.org/taxonomyHistory.asp?taxnode_id=20175792","ICTVonline=20175792")</f>
        <v>ICTVonline=20175792</v>
      </c>
      <c r="L2981" s="3">
        <v>2980</v>
      </c>
    </row>
    <row r="2982" spans="1:12" x14ac:dyDescent="0.15">
      <c r="A2982" s="1" t="s">
        <v>908</v>
      </c>
      <c r="B2982" s="1" t="s">
        <v>2110</v>
      </c>
      <c r="D2982" s="1" t="s">
        <v>2111</v>
      </c>
      <c r="E2982" s="1" t="s">
        <v>6114</v>
      </c>
      <c r="F2982" s="3">
        <v>0</v>
      </c>
      <c r="G2982" s="8" t="s">
        <v>3895</v>
      </c>
      <c r="H2982" s="8" t="s">
        <v>5159</v>
      </c>
      <c r="I2982" s="3">
        <v>32</v>
      </c>
      <c r="J2982" s="3" t="s">
        <v>6106</v>
      </c>
      <c r="K2982" s="17" t="str">
        <f>HYPERLINK("http://ictvonline.org/taxonomyHistory.asp?taxnode_id=20175793","ICTVonline=20175793")</f>
        <v>ICTVonline=20175793</v>
      </c>
      <c r="L2982" s="3">
        <v>2981</v>
      </c>
    </row>
    <row r="2983" spans="1:12" x14ac:dyDescent="0.15">
      <c r="A2983" s="1" t="s">
        <v>908</v>
      </c>
      <c r="B2983" s="1" t="s">
        <v>2110</v>
      </c>
      <c r="D2983" s="1" t="s">
        <v>2111</v>
      </c>
      <c r="E2983" s="1" t="s">
        <v>6115</v>
      </c>
      <c r="F2983" s="3">
        <v>0</v>
      </c>
      <c r="G2983" s="8" t="s">
        <v>3895</v>
      </c>
      <c r="H2983" s="8" t="s">
        <v>5159</v>
      </c>
      <c r="I2983" s="3">
        <v>32</v>
      </c>
      <c r="J2983" s="3" t="s">
        <v>6106</v>
      </c>
      <c r="K2983" s="17" t="str">
        <f>HYPERLINK("http://ictvonline.org/taxonomyHistory.asp?taxnode_id=20175794","ICTVonline=20175794")</f>
        <v>ICTVonline=20175794</v>
      </c>
      <c r="L2983" s="3">
        <v>2982</v>
      </c>
    </row>
    <row r="2984" spans="1:12" x14ac:dyDescent="0.15">
      <c r="A2984" s="1" t="s">
        <v>908</v>
      </c>
      <c r="B2984" s="1" t="s">
        <v>2110</v>
      </c>
      <c r="D2984" s="1" t="s">
        <v>2111</v>
      </c>
      <c r="E2984" s="1" t="s">
        <v>286</v>
      </c>
      <c r="F2984" s="3">
        <v>0</v>
      </c>
      <c r="G2984" s="8" t="s">
        <v>3895</v>
      </c>
      <c r="H2984" s="8" t="s">
        <v>5159</v>
      </c>
      <c r="I2984" s="3">
        <v>24</v>
      </c>
      <c r="J2984" s="3" t="s">
        <v>6103</v>
      </c>
      <c r="K2984" s="17" t="str">
        <f>HYPERLINK("http://ictvonline.org/taxonomyHistory.asp?taxnode_id=20173219","ICTVonline=20173219")</f>
        <v>ICTVonline=20173219</v>
      </c>
      <c r="L2984" s="3">
        <v>2983</v>
      </c>
    </row>
    <row r="2985" spans="1:12" x14ac:dyDescent="0.15">
      <c r="A2985" s="1" t="s">
        <v>908</v>
      </c>
      <c r="B2985" s="1" t="s">
        <v>2110</v>
      </c>
      <c r="D2985" s="1" t="s">
        <v>2111</v>
      </c>
      <c r="E2985" s="1" t="s">
        <v>287</v>
      </c>
      <c r="F2985" s="3">
        <v>0</v>
      </c>
      <c r="G2985" s="8" t="s">
        <v>3895</v>
      </c>
      <c r="H2985" s="8" t="s">
        <v>5159</v>
      </c>
      <c r="I2985" s="3">
        <v>24</v>
      </c>
      <c r="J2985" s="3" t="s">
        <v>6103</v>
      </c>
      <c r="K2985" s="17" t="str">
        <f>HYPERLINK("http://ictvonline.org/taxonomyHistory.asp?taxnode_id=20173220","ICTVonline=20173220")</f>
        <v>ICTVonline=20173220</v>
      </c>
      <c r="L2985" s="3">
        <v>2984</v>
      </c>
    </row>
    <row r="2986" spans="1:12" x14ac:dyDescent="0.15">
      <c r="A2986" s="1" t="s">
        <v>908</v>
      </c>
      <c r="B2986" s="1" t="s">
        <v>2110</v>
      </c>
      <c r="D2986" s="1" t="s">
        <v>2111</v>
      </c>
      <c r="E2986" s="1" t="s">
        <v>3922</v>
      </c>
      <c r="F2986" s="3">
        <v>0</v>
      </c>
      <c r="G2986" s="8" t="s">
        <v>3895</v>
      </c>
      <c r="H2986" s="8" t="s">
        <v>5159</v>
      </c>
      <c r="I2986" s="3">
        <v>30</v>
      </c>
      <c r="J2986" s="3" t="s">
        <v>6099</v>
      </c>
      <c r="K2986" s="17" t="str">
        <f>HYPERLINK("http://ictvonline.org/taxonomyHistory.asp?taxnode_id=20173221","ICTVonline=20173221")</f>
        <v>ICTVonline=20173221</v>
      </c>
      <c r="L2986" s="3">
        <v>2985</v>
      </c>
    </row>
    <row r="2987" spans="1:12" x14ac:dyDescent="0.15">
      <c r="A2987" s="1" t="s">
        <v>908</v>
      </c>
      <c r="B2987" s="1" t="s">
        <v>2110</v>
      </c>
      <c r="D2987" s="1" t="s">
        <v>2111</v>
      </c>
      <c r="E2987" s="1" t="s">
        <v>95</v>
      </c>
      <c r="F2987" s="3">
        <v>0</v>
      </c>
      <c r="G2987" s="8" t="s">
        <v>3895</v>
      </c>
      <c r="H2987" s="8" t="s">
        <v>5162</v>
      </c>
      <c r="I2987" s="3">
        <v>26</v>
      </c>
      <c r="J2987" s="3" t="s">
        <v>6116</v>
      </c>
      <c r="K2987" s="17" t="str">
        <f>HYPERLINK("http://ictvonline.org/taxonomyHistory.asp?taxnode_id=20173222","ICTVonline=20173222")</f>
        <v>ICTVonline=20173222</v>
      </c>
      <c r="L2987" s="3">
        <v>2986</v>
      </c>
    </row>
    <row r="2988" spans="1:12" x14ac:dyDescent="0.15">
      <c r="A2988" s="1" t="s">
        <v>908</v>
      </c>
      <c r="B2988" s="1" t="s">
        <v>2110</v>
      </c>
      <c r="D2988" s="1" t="s">
        <v>2111</v>
      </c>
      <c r="E2988" s="1" t="s">
        <v>3923</v>
      </c>
      <c r="F2988" s="3">
        <v>0</v>
      </c>
      <c r="G2988" s="8" t="s">
        <v>3895</v>
      </c>
      <c r="H2988" s="8" t="s">
        <v>5159</v>
      </c>
      <c r="I2988" s="3">
        <v>30</v>
      </c>
      <c r="J2988" s="3" t="s">
        <v>6099</v>
      </c>
      <c r="K2988" s="17" t="str">
        <f>HYPERLINK("http://ictvonline.org/taxonomyHistory.asp?taxnode_id=20173223","ICTVonline=20173223")</f>
        <v>ICTVonline=20173223</v>
      </c>
      <c r="L2988" s="3">
        <v>2987</v>
      </c>
    </row>
    <row r="2989" spans="1:12" x14ac:dyDescent="0.15">
      <c r="A2989" s="1" t="s">
        <v>908</v>
      </c>
      <c r="B2989" s="1" t="s">
        <v>2110</v>
      </c>
      <c r="D2989" s="1" t="s">
        <v>2111</v>
      </c>
      <c r="E2989" s="1" t="s">
        <v>414</v>
      </c>
      <c r="F2989" s="3">
        <v>0</v>
      </c>
      <c r="G2989" s="8" t="s">
        <v>3895</v>
      </c>
      <c r="H2989" s="8" t="s">
        <v>5161</v>
      </c>
      <c r="I2989" s="3">
        <v>16</v>
      </c>
      <c r="J2989" s="3" t="s">
        <v>6032</v>
      </c>
      <c r="K2989" s="17" t="str">
        <f>HYPERLINK("http://ictvonline.org/taxonomyHistory.asp?taxnode_id=20173224","ICTVonline=20173224")</f>
        <v>ICTVonline=20173224</v>
      </c>
      <c r="L2989" s="3">
        <v>2988</v>
      </c>
    </row>
    <row r="2990" spans="1:12" x14ac:dyDescent="0.15">
      <c r="A2990" s="1" t="s">
        <v>908</v>
      </c>
      <c r="B2990" s="1" t="s">
        <v>2110</v>
      </c>
      <c r="D2990" s="1" t="s">
        <v>2111</v>
      </c>
      <c r="E2990" s="1" t="s">
        <v>290</v>
      </c>
      <c r="F2990" s="3">
        <v>0</v>
      </c>
      <c r="G2990" s="8" t="s">
        <v>3895</v>
      </c>
      <c r="H2990" s="8" t="s">
        <v>5159</v>
      </c>
      <c r="I2990" s="3">
        <v>22</v>
      </c>
      <c r="J2990" s="3" t="s">
        <v>6101</v>
      </c>
      <c r="K2990" s="17" t="str">
        <f>HYPERLINK("http://ictvonline.org/taxonomyHistory.asp?taxnode_id=20173225","ICTVonline=20173225")</f>
        <v>ICTVonline=20173225</v>
      </c>
      <c r="L2990" s="3">
        <v>2989</v>
      </c>
    </row>
    <row r="2991" spans="1:12" x14ac:dyDescent="0.15">
      <c r="A2991" s="1" t="s">
        <v>908</v>
      </c>
      <c r="B2991" s="1" t="s">
        <v>2110</v>
      </c>
      <c r="D2991" s="1" t="s">
        <v>2111</v>
      </c>
      <c r="E2991" s="1" t="s">
        <v>1293</v>
      </c>
      <c r="F2991" s="3">
        <v>0</v>
      </c>
      <c r="G2991" s="8" t="s">
        <v>3895</v>
      </c>
      <c r="H2991" s="8" t="s">
        <v>5159</v>
      </c>
      <c r="I2991" s="3">
        <v>24</v>
      </c>
      <c r="J2991" s="3" t="s">
        <v>6107</v>
      </c>
      <c r="K2991" s="17" t="str">
        <f>HYPERLINK("http://ictvonline.org/taxonomyHistory.asp?taxnode_id=20173226","ICTVonline=20173226")</f>
        <v>ICTVonline=20173226</v>
      </c>
      <c r="L2991" s="3">
        <v>2990</v>
      </c>
    </row>
    <row r="2992" spans="1:12" x14ac:dyDescent="0.15">
      <c r="A2992" s="1" t="s">
        <v>908</v>
      </c>
      <c r="B2992" s="1" t="s">
        <v>2110</v>
      </c>
      <c r="D2992" s="1" t="s">
        <v>2111</v>
      </c>
      <c r="E2992" s="1" t="s">
        <v>6117</v>
      </c>
      <c r="F2992" s="3">
        <v>0</v>
      </c>
      <c r="G2992" s="8" t="s">
        <v>3895</v>
      </c>
      <c r="H2992" s="8" t="s">
        <v>5159</v>
      </c>
      <c r="I2992" s="3">
        <v>32</v>
      </c>
      <c r="J2992" s="3" t="s">
        <v>6106</v>
      </c>
      <c r="K2992" s="17" t="str">
        <f>HYPERLINK("http://ictvonline.org/taxonomyHistory.asp?taxnode_id=20175795","ICTVonline=20175795")</f>
        <v>ICTVonline=20175795</v>
      </c>
      <c r="L2992" s="3">
        <v>2991</v>
      </c>
    </row>
    <row r="2993" spans="1:12" x14ac:dyDescent="0.15">
      <c r="A2993" s="1" t="s">
        <v>908</v>
      </c>
      <c r="B2993" s="1" t="s">
        <v>2110</v>
      </c>
      <c r="D2993" s="1" t="s">
        <v>2111</v>
      </c>
      <c r="E2993" s="1" t="s">
        <v>292</v>
      </c>
      <c r="F2993" s="3">
        <v>0</v>
      </c>
      <c r="G2993" s="8" t="s">
        <v>3895</v>
      </c>
      <c r="H2993" s="8" t="s">
        <v>5159</v>
      </c>
      <c r="I2993" s="3">
        <v>22</v>
      </c>
      <c r="J2993" s="3" t="s">
        <v>6101</v>
      </c>
      <c r="K2993" s="17" t="str">
        <f>HYPERLINK("http://ictvonline.org/taxonomyHistory.asp?taxnode_id=20173227","ICTVonline=20173227")</f>
        <v>ICTVonline=20173227</v>
      </c>
      <c r="L2993" s="3">
        <v>2992</v>
      </c>
    </row>
    <row r="2994" spans="1:12" x14ac:dyDescent="0.15">
      <c r="A2994" s="1" t="s">
        <v>908</v>
      </c>
      <c r="B2994" s="1" t="s">
        <v>2110</v>
      </c>
      <c r="D2994" s="1" t="s">
        <v>2111</v>
      </c>
      <c r="E2994" s="1" t="s">
        <v>293</v>
      </c>
      <c r="F2994" s="3">
        <v>0</v>
      </c>
      <c r="G2994" s="8" t="s">
        <v>3895</v>
      </c>
      <c r="H2994" s="8" t="s">
        <v>5159</v>
      </c>
      <c r="I2994" s="3">
        <v>22</v>
      </c>
      <c r="J2994" s="3" t="s">
        <v>6101</v>
      </c>
      <c r="K2994" s="17" t="str">
        <f>HYPERLINK("http://ictvonline.org/taxonomyHistory.asp?taxnode_id=20173228","ICTVonline=20173228")</f>
        <v>ICTVonline=20173228</v>
      </c>
      <c r="L2994" s="3">
        <v>2993</v>
      </c>
    </row>
    <row r="2995" spans="1:12" x14ac:dyDescent="0.15">
      <c r="A2995" s="1" t="s">
        <v>908</v>
      </c>
      <c r="B2995" s="1" t="s">
        <v>2110</v>
      </c>
      <c r="D2995" s="1" t="s">
        <v>2111</v>
      </c>
      <c r="E2995" s="1" t="s">
        <v>410</v>
      </c>
      <c r="F2995" s="3">
        <v>0</v>
      </c>
      <c r="G2995" s="8" t="s">
        <v>3895</v>
      </c>
      <c r="H2995" s="8" t="s">
        <v>5168</v>
      </c>
      <c r="I2995" s="3">
        <v>24</v>
      </c>
      <c r="J2995" s="3" t="s">
        <v>6104</v>
      </c>
      <c r="K2995" s="17" t="str">
        <f>HYPERLINK("http://ictvonline.org/taxonomyHistory.asp?taxnode_id=20173229","ICTVonline=20173229")</f>
        <v>ICTVonline=20173229</v>
      </c>
      <c r="L2995" s="3">
        <v>2994</v>
      </c>
    </row>
    <row r="2996" spans="1:12" x14ac:dyDescent="0.15">
      <c r="A2996" s="1" t="s">
        <v>908</v>
      </c>
      <c r="B2996" s="1" t="s">
        <v>2110</v>
      </c>
      <c r="D2996" s="1" t="s">
        <v>2111</v>
      </c>
      <c r="E2996" s="1" t="s">
        <v>6118</v>
      </c>
      <c r="F2996" s="3">
        <v>0</v>
      </c>
      <c r="G2996" s="8" t="s">
        <v>3895</v>
      </c>
      <c r="H2996" s="8" t="s">
        <v>5159</v>
      </c>
      <c r="I2996" s="3">
        <v>32</v>
      </c>
      <c r="J2996" s="3" t="s">
        <v>6106</v>
      </c>
      <c r="K2996" s="17" t="str">
        <f>HYPERLINK("http://ictvonline.org/taxonomyHistory.asp?taxnode_id=20175796","ICTVonline=20175796")</f>
        <v>ICTVonline=20175796</v>
      </c>
      <c r="L2996" s="3">
        <v>2995</v>
      </c>
    </row>
    <row r="2997" spans="1:12" x14ac:dyDescent="0.15">
      <c r="A2997" s="1" t="s">
        <v>908</v>
      </c>
      <c r="B2997" s="1" t="s">
        <v>2110</v>
      </c>
      <c r="D2997" s="1" t="s">
        <v>2111</v>
      </c>
      <c r="E2997" s="1" t="s">
        <v>411</v>
      </c>
      <c r="F2997" s="3">
        <v>0</v>
      </c>
      <c r="G2997" s="8" t="s">
        <v>3895</v>
      </c>
      <c r="H2997" s="8" t="s">
        <v>5159</v>
      </c>
      <c r="I2997" s="3">
        <v>17</v>
      </c>
      <c r="J2997" s="3" t="s">
        <v>5970</v>
      </c>
      <c r="K2997" s="17" t="str">
        <f>HYPERLINK("http://ictvonline.org/taxonomyHistory.asp?taxnode_id=20173230","ICTVonline=20173230")</f>
        <v>ICTVonline=20173230</v>
      </c>
      <c r="L2997" s="3">
        <v>2996</v>
      </c>
    </row>
    <row r="2998" spans="1:12" x14ac:dyDescent="0.15">
      <c r="A2998" s="1" t="s">
        <v>908</v>
      </c>
      <c r="B2998" s="1" t="s">
        <v>2110</v>
      </c>
      <c r="D2998" s="1" t="s">
        <v>2111</v>
      </c>
      <c r="E2998" s="1" t="s">
        <v>3924</v>
      </c>
      <c r="F2998" s="3">
        <v>0</v>
      </c>
      <c r="G2998" s="8" t="s">
        <v>3895</v>
      </c>
      <c r="H2998" s="8" t="s">
        <v>5159</v>
      </c>
      <c r="I2998" s="3">
        <v>30</v>
      </c>
      <c r="J2998" s="3" t="s">
        <v>6099</v>
      </c>
      <c r="K2998" s="17" t="str">
        <f>HYPERLINK("http://ictvonline.org/taxonomyHistory.asp?taxnode_id=20173231","ICTVonline=20173231")</f>
        <v>ICTVonline=20173231</v>
      </c>
      <c r="L2998" s="3">
        <v>2997</v>
      </c>
    </row>
    <row r="2999" spans="1:12" x14ac:dyDescent="0.15">
      <c r="A2999" s="1" t="s">
        <v>908</v>
      </c>
      <c r="B2999" s="1" t="s">
        <v>2110</v>
      </c>
      <c r="D2999" s="1" t="s">
        <v>2111</v>
      </c>
      <c r="E2999" s="1" t="s">
        <v>1516</v>
      </c>
      <c r="F2999" s="3">
        <v>0</v>
      </c>
      <c r="G2999" s="8" t="s">
        <v>3895</v>
      </c>
      <c r="H2999" s="8" t="s">
        <v>5159</v>
      </c>
      <c r="I2999" s="3">
        <v>22</v>
      </c>
      <c r="J2999" s="3" t="s">
        <v>6119</v>
      </c>
      <c r="K2999" s="17" t="str">
        <f>HYPERLINK("http://ictvonline.org/taxonomyHistory.asp?taxnode_id=20173232","ICTVonline=20173232")</f>
        <v>ICTVonline=20173232</v>
      </c>
      <c r="L2999" s="3">
        <v>2998</v>
      </c>
    </row>
    <row r="3000" spans="1:12" x14ac:dyDescent="0.15">
      <c r="A3000" s="1" t="s">
        <v>908</v>
      </c>
      <c r="B3000" s="1" t="s">
        <v>2110</v>
      </c>
      <c r="D3000" s="1" t="s">
        <v>2111</v>
      </c>
      <c r="E3000" s="1" t="s">
        <v>1740</v>
      </c>
      <c r="F3000" s="3">
        <v>0</v>
      </c>
      <c r="G3000" s="8" t="s">
        <v>3895</v>
      </c>
      <c r="H3000" s="8" t="s">
        <v>5162</v>
      </c>
      <c r="I3000" s="3">
        <v>26</v>
      </c>
      <c r="J3000" s="3" t="s">
        <v>6116</v>
      </c>
      <c r="K3000" s="17" t="str">
        <f>HYPERLINK("http://ictvonline.org/taxonomyHistory.asp?taxnode_id=20173233","ICTVonline=20173233")</f>
        <v>ICTVonline=20173233</v>
      </c>
      <c r="L3000" s="3">
        <v>2999</v>
      </c>
    </row>
    <row r="3001" spans="1:12" x14ac:dyDescent="0.15">
      <c r="A3001" s="1" t="s">
        <v>908</v>
      </c>
      <c r="B3001" s="1" t="s">
        <v>2110</v>
      </c>
      <c r="D3001" s="1" t="s">
        <v>2111</v>
      </c>
      <c r="E3001" s="1" t="s">
        <v>2416</v>
      </c>
      <c r="F3001" s="3">
        <v>0</v>
      </c>
      <c r="G3001" s="8" t="s">
        <v>3895</v>
      </c>
      <c r="H3001" s="8" t="s">
        <v>5159</v>
      </c>
      <c r="I3001" s="3">
        <v>28</v>
      </c>
      <c r="J3001" s="3" t="s">
        <v>6100</v>
      </c>
      <c r="K3001" s="17" t="str">
        <f>HYPERLINK("http://ictvonline.org/taxonomyHistory.asp?taxnode_id=20173234","ICTVonline=20173234")</f>
        <v>ICTVonline=20173234</v>
      </c>
      <c r="L3001" s="3">
        <v>3000</v>
      </c>
    </row>
    <row r="3002" spans="1:12" x14ac:dyDescent="0.15">
      <c r="A3002" s="1" t="s">
        <v>908</v>
      </c>
      <c r="B3002" s="1" t="s">
        <v>2110</v>
      </c>
      <c r="D3002" s="1" t="s">
        <v>2111</v>
      </c>
      <c r="E3002" s="1" t="s">
        <v>2417</v>
      </c>
      <c r="F3002" s="3">
        <v>0</v>
      </c>
      <c r="G3002" s="8" t="s">
        <v>3895</v>
      </c>
      <c r="H3002" s="8" t="s">
        <v>5159</v>
      </c>
      <c r="I3002" s="3">
        <v>28</v>
      </c>
      <c r="J3002" s="3" t="s">
        <v>6100</v>
      </c>
      <c r="K3002" s="17" t="str">
        <f>HYPERLINK("http://ictvonline.org/taxonomyHistory.asp?taxnode_id=20173235","ICTVonline=20173235")</f>
        <v>ICTVonline=20173235</v>
      </c>
      <c r="L3002" s="3">
        <v>3001</v>
      </c>
    </row>
    <row r="3003" spans="1:12" x14ac:dyDescent="0.15">
      <c r="A3003" s="1" t="s">
        <v>908</v>
      </c>
      <c r="B3003" s="1" t="s">
        <v>2110</v>
      </c>
      <c r="D3003" s="1" t="s">
        <v>2111</v>
      </c>
      <c r="E3003" s="1" t="s">
        <v>6120</v>
      </c>
      <c r="F3003" s="3">
        <v>0</v>
      </c>
      <c r="G3003" s="8" t="s">
        <v>3895</v>
      </c>
      <c r="H3003" s="8" t="s">
        <v>5159</v>
      </c>
      <c r="I3003" s="3">
        <v>32</v>
      </c>
      <c r="J3003" s="3" t="s">
        <v>6106</v>
      </c>
      <c r="K3003" s="17" t="str">
        <f>HYPERLINK("http://ictvonline.org/taxonomyHistory.asp?taxnode_id=20175797","ICTVonline=20175797")</f>
        <v>ICTVonline=20175797</v>
      </c>
      <c r="L3003" s="3">
        <v>3002</v>
      </c>
    </row>
    <row r="3004" spans="1:12" x14ac:dyDescent="0.15">
      <c r="A3004" s="1" t="s">
        <v>908</v>
      </c>
      <c r="B3004" s="1" t="s">
        <v>2110</v>
      </c>
      <c r="D3004" s="1" t="s">
        <v>2111</v>
      </c>
      <c r="E3004" s="1" t="s">
        <v>1517</v>
      </c>
      <c r="F3004" s="3">
        <v>0</v>
      </c>
      <c r="G3004" s="8" t="s">
        <v>3895</v>
      </c>
      <c r="H3004" s="8" t="s">
        <v>5159</v>
      </c>
      <c r="I3004" s="3">
        <v>24</v>
      </c>
      <c r="J3004" s="3" t="s">
        <v>6103</v>
      </c>
      <c r="K3004" s="17" t="str">
        <f>HYPERLINK("http://ictvonline.org/taxonomyHistory.asp?taxnode_id=20173236","ICTVonline=20173236")</f>
        <v>ICTVonline=20173236</v>
      </c>
      <c r="L3004" s="3">
        <v>3003</v>
      </c>
    </row>
    <row r="3005" spans="1:12" x14ac:dyDescent="0.15">
      <c r="A3005" s="1" t="s">
        <v>908</v>
      </c>
      <c r="B3005" s="1" t="s">
        <v>2110</v>
      </c>
      <c r="D3005" s="1" t="s">
        <v>2111</v>
      </c>
      <c r="E3005" s="1" t="s">
        <v>6121</v>
      </c>
      <c r="F3005" s="3">
        <v>0</v>
      </c>
      <c r="G3005" s="8" t="s">
        <v>3895</v>
      </c>
      <c r="H3005" s="8" t="s">
        <v>5159</v>
      </c>
      <c r="I3005" s="3">
        <v>32</v>
      </c>
      <c r="J3005" s="3" t="s">
        <v>6106</v>
      </c>
      <c r="K3005" s="17" t="str">
        <f>HYPERLINK("http://ictvonline.org/taxonomyHistory.asp?taxnode_id=20175798","ICTVonline=20175798")</f>
        <v>ICTVonline=20175798</v>
      </c>
      <c r="L3005" s="3">
        <v>3004</v>
      </c>
    </row>
    <row r="3006" spans="1:12" x14ac:dyDescent="0.15">
      <c r="A3006" s="1" t="s">
        <v>908</v>
      </c>
      <c r="B3006" s="1" t="s">
        <v>2110</v>
      </c>
      <c r="D3006" s="1" t="s">
        <v>2111</v>
      </c>
      <c r="E3006" s="1" t="s">
        <v>1518</v>
      </c>
      <c r="F3006" s="3">
        <v>0</v>
      </c>
      <c r="G3006" s="8" t="s">
        <v>3895</v>
      </c>
      <c r="H3006" s="8" t="s">
        <v>5159</v>
      </c>
      <c r="I3006" s="3">
        <v>24</v>
      </c>
      <c r="J3006" s="3" t="s">
        <v>6103</v>
      </c>
      <c r="K3006" s="17" t="str">
        <f>HYPERLINK("http://ictvonline.org/taxonomyHistory.asp?taxnode_id=20173237","ICTVonline=20173237")</f>
        <v>ICTVonline=20173237</v>
      </c>
      <c r="L3006" s="3">
        <v>3005</v>
      </c>
    </row>
    <row r="3007" spans="1:12" x14ac:dyDescent="0.15">
      <c r="A3007" s="1" t="s">
        <v>908</v>
      </c>
      <c r="B3007" s="1" t="s">
        <v>2110</v>
      </c>
      <c r="D3007" s="1" t="s">
        <v>2111</v>
      </c>
      <c r="E3007" s="1" t="s">
        <v>1519</v>
      </c>
      <c r="F3007" s="3">
        <v>0</v>
      </c>
      <c r="G3007" s="8" t="s">
        <v>3895</v>
      </c>
      <c r="H3007" s="8" t="s">
        <v>5159</v>
      </c>
      <c r="I3007" s="3">
        <v>22</v>
      </c>
      <c r="J3007" s="3" t="s">
        <v>6101</v>
      </c>
      <c r="K3007" s="17" t="str">
        <f>HYPERLINK("http://ictvonline.org/taxonomyHistory.asp?taxnode_id=20173238","ICTVonline=20173238")</f>
        <v>ICTVonline=20173238</v>
      </c>
      <c r="L3007" s="3">
        <v>3006</v>
      </c>
    </row>
    <row r="3008" spans="1:12" x14ac:dyDescent="0.15">
      <c r="A3008" s="1" t="s">
        <v>908</v>
      </c>
      <c r="B3008" s="1" t="s">
        <v>2110</v>
      </c>
      <c r="D3008" s="1" t="s">
        <v>2111</v>
      </c>
      <c r="E3008" s="1" t="s">
        <v>1520</v>
      </c>
      <c r="F3008" s="3">
        <v>0</v>
      </c>
      <c r="G3008" s="8" t="s">
        <v>3895</v>
      </c>
      <c r="H3008" s="8" t="s">
        <v>5159</v>
      </c>
      <c r="I3008" s="3">
        <v>23</v>
      </c>
      <c r="J3008" s="3" t="s">
        <v>6020</v>
      </c>
      <c r="K3008" s="17" t="str">
        <f>HYPERLINK("http://ictvonline.org/taxonomyHistory.asp?taxnode_id=20173239","ICTVonline=20173239")</f>
        <v>ICTVonline=20173239</v>
      </c>
      <c r="L3008" s="3">
        <v>3007</v>
      </c>
    </row>
    <row r="3009" spans="1:12" x14ac:dyDescent="0.15">
      <c r="A3009" s="1" t="s">
        <v>908</v>
      </c>
      <c r="B3009" s="1" t="s">
        <v>2110</v>
      </c>
      <c r="D3009" s="1" t="s">
        <v>2111</v>
      </c>
      <c r="E3009" s="1" t="s">
        <v>6122</v>
      </c>
      <c r="F3009" s="3">
        <v>0</v>
      </c>
      <c r="G3009" s="8" t="s">
        <v>3895</v>
      </c>
      <c r="H3009" s="8" t="s">
        <v>5159</v>
      </c>
      <c r="I3009" s="3">
        <v>32</v>
      </c>
      <c r="J3009" s="3" t="s">
        <v>6106</v>
      </c>
      <c r="K3009" s="17" t="str">
        <f>HYPERLINK("http://ictvonline.org/taxonomyHistory.asp?taxnode_id=20175799","ICTVonline=20175799")</f>
        <v>ICTVonline=20175799</v>
      </c>
      <c r="L3009" s="3">
        <v>3008</v>
      </c>
    </row>
    <row r="3010" spans="1:12" x14ac:dyDescent="0.15">
      <c r="A3010" s="1" t="s">
        <v>908</v>
      </c>
      <c r="B3010" s="1" t="s">
        <v>2110</v>
      </c>
      <c r="D3010" s="1" t="s">
        <v>2111</v>
      </c>
      <c r="E3010" s="1" t="s">
        <v>436</v>
      </c>
      <c r="F3010" s="3">
        <v>0</v>
      </c>
      <c r="G3010" s="8" t="s">
        <v>3895</v>
      </c>
      <c r="H3010" s="8" t="s">
        <v>5159</v>
      </c>
      <c r="I3010" s="3">
        <v>22</v>
      </c>
      <c r="J3010" s="3" t="s">
        <v>6101</v>
      </c>
      <c r="K3010" s="17" t="str">
        <f>HYPERLINK("http://ictvonline.org/taxonomyHistory.asp?taxnode_id=20173240","ICTVonline=20173240")</f>
        <v>ICTVonline=20173240</v>
      </c>
      <c r="L3010" s="3">
        <v>3009</v>
      </c>
    </row>
    <row r="3011" spans="1:12" x14ac:dyDescent="0.15">
      <c r="A3011" s="1" t="s">
        <v>908</v>
      </c>
      <c r="B3011" s="1" t="s">
        <v>2110</v>
      </c>
      <c r="D3011" s="1" t="s">
        <v>2111</v>
      </c>
      <c r="E3011" s="1" t="s">
        <v>437</v>
      </c>
      <c r="F3011" s="3">
        <v>0</v>
      </c>
      <c r="G3011" s="8" t="s">
        <v>3895</v>
      </c>
      <c r="H3011" s="8" t="s">
        <v>5159</v>
      </c>
      <c r="I3011" s="3">
        <v>24</v>
      </c>
      <c r="J3011" s="3" t="s">
        <v>6107</v>
      </c>
      <c r="K3011" s="17" t="str">
        <f>HYPERLINK("http://ictvonline.org/taxonomyHistory.asp?taxnode_id=20173241","ICTVonline=20173241")</f>
        <v>ICTVonline=20173241</v>
      </c>
      <c r="L3011" s="3">
        <v>3010</v>
      </c>
    </row>
    <row r="3012" spans="1:12" x14ac:dyDescent="0.15">
      <c r="A3012" s="1" t="s">
        <v>908</v>
      </c>
      <c r="B3012" s="1" t="s">
        <v>2110</v>
      </c>
      <c r="D3012" s="1" t="s">
        <v>2111</v>
      </c>
      <c r="E3012" s="1" t="s">
        <v>438</v>
      </c>
      <c r="F3012" s="3">
        <v>0</v>
      </c>
      <c r="G3012" s="8" t="s">
        <v>3895</v>
      </c>
      <c r="H3012" s="8" t="s">
        <v>5159</v>
      </c>
      <c r="I3012" s="3">
        <v>22</v>
      </c>
      <c r="J3012" s="3" t="s">
        <v>6101</v>
      </c>
      <c r="K3012" s="17" t="str">
        <f>HYPERLINK("http://ictvonline.org/taxonomyHistory.asp?taxnode_id=20173242","ICTVonline=20173242")</f>
        <v>ICTVonline=20173242</v>
      </c>
      <c r="L3012" s="3">
        <v>3011</v>
      </c>
    </row>
    <row r="3013" spans="1:12" x14ac:dyDescent="0.15">
      <c r="A3013" s="1" t="s">
        <v>908</v>
      </c>
      <c r="B3013" s="1" t="s">
        <v>2110</v>
      </c>
      <c r="D3013" s="1" t="s">
        <v>2111</v>
      </c>
      <c r="E3013" s="1" t="s">
        <v>439</v>
      </c>
      <c r="F3013" s="3">
        <v>0</v>
      </c>
      <c r="G3013" s="8" t="s">
        <v>3895</v>
      </c>
      <c r="H3013" s="8" t="s">
        <v>5159</v>
      </c>
      <c r="I3013" s="3">
        <v>17</v>
      </c>
      <c r="J3013" s="3" t="s">
        <v>5970</v>
      </c>
      <c r="K3013" s="17" t="str">
        <f>HYPERLINK("http://ictvonline.org/taxonomyHistory.asp?taxnode_id=20173243","ICTVonline=20173243")</f>
        <v>ICTVonline=20173243</v>
      </c>
      <c r="L3013" s="3">
        <v>3012</v>
      </c>
    </row>
    <row r="3014" spans="1:12" x14ac:dyDescent="0.15">
      <c r="A3014" s="1" t="s">
        <v>908</v>
      </c>
      <c r="B3014" s="1" t="s">
        <v>2110</v>
      </c>
      <c r="D3014" s="1" t="s">
        <v>2111</v>
      </c>
      <c r="E3014" s="1" t="s">
        <v>440</v>
      </c>
      <c r="F3014" s="3">
        <v>0</v>
      </c>
      <c r="G3014" s="8" t="s">
        <v>3895</v>
      </c>
      <c r="H3014" s="8" t="s">
        <v>5159</v>
      </c>
      <c r="I3014" s="3">
        <v>22</v>
      </c>
      <c r="J3014" s="3" t="s">
        <v>6101</v>
      </c>
      <c r="K3014" s="17" t="str">
        <f>HYPERLINK("http://ictvonline.org/taxonomyHistory.asp?taxnode_id=20173244","ICTVonline=20173244")</f>
        <v>ICTVonline=20173244</v>
      </c>
      <c r="L3014" s="3">
        <v>3013</v>
      </c>
    </row>
    <row r="3015" spans="1:12" x14ac:dyDescent="0.15">
      <c r="A3015" s="1" t="s">
        <v>908</v>
      </c>
      <c r="B3015" s="1" t="s">
        <v>2110</v>
      </c>
      <c r="D3015" s="1" t="s">
        <v>2111</v>
      </c>
      <c r="E3015" s="1" t="s">
        <v>3925</v>
      </c>
      <c r="F3015" s="3">
        <v>0</v>
      </c>
      <c r="G3015" s="8" t="s">
        <v>3895</v>
      </c>
      <c r="H3015" s="8" t="s">
        <v>5159</v>
      </c>
      <c r="I3015" s="3">
        <v>30</v>
      </c>
      <c r="J3015" s="3" t="s">
        <v>6099</v>
      </c>
      <c r="K3015" s="17" t="str">
        <f>HYPERLINK("http://ictvonline.org/taxonomyHistory.asp?taxnode_id=20173245","ICTVonline=20173245")</f>
        <v>ICTVonline=20173245</v>
      </c>
      <c r="L3015" s="3">
        <v>3014</v>
      </c>
    </row>
    <row r="3016" spans="1:12" x14ac:dyDescent="0.15">
      <c r="A3016" s="1" t="s">
        <v>908</v>
      </c>
      <c r="B3016" s="1" t="s">
        <v>2110</v>
      </c>
      <c r="D3016" s="1" t="s">
        <v>2111</v>
      </c>
      <c r="E3016" s="1" t="s">
        <v>441</v>
      </c>
      <c r="F3016" s="3">
        <v>0</v>
      </c>
      <c r="G3016" s="8" t="s">
        <v>3895</v>
      </c>
      <c r="H3016" s="8" t="s">
        <v>5159</v>
      </c>
      <c r="I3016" s="3">
        <v>24</v>
      </c>
      <c r="J3016" s="3" t="s">
        <v>6103</v>
      </c>
      <c r="K3016" s="17" t="str">
        <f>HYPERLINK("http://ictvonline.org/taxonomyHistory.asp?taxnode_id=20173246","ICTVonline=20173246")</f>
        <v>ICTVonline=20173246</v>
      </c>
      <c r="L3016" s="3">
        <v>3015</v>
      </c>
    </row>
    <row r="3017" spans="1:12" x14ac:dyDescent="0.15">
      <c r="A3017" s="1" t="s">
        <v>908</v>
      </c>
      <c r="B3017" s="1" t="s">
        <v>2110</v>
      </c>
      <c r="D3017" s="1" t="s">
        <v>2111</v>
      </c>
      <c r="E3017" s="1" t="s">
        <v>297</v>
      </c>
      <c r="F3017" s="3">
        <v>0</v>
      </c>
      <c r="G3017" s="8" t="s">
        <v>3895</v>
      </c>
      <c r="H3017" s="8" t="s">
        <v>5159</v>
      </c>
      <c r="I3017" s="3">
        <v>24</v>
      </c>
      <c r="J3017" s="3" t="s">
        <v>6102</v>
      </c>
      <c r="K3017" s="17" t="str">
        <f>HYPERLINK("http://ictvonline.org/taxonomyHistory.asp?taxnode_id=20173247","ICTVonline=20173247")</f>
        <v>ICTVonline=20173247</v>
      </c>
      <c r="L3017" s="3">
        <v>3016</v>
      </c>
    </row>
    <row r="3018" spans="1:12" x14ac:dyDescent="0.15">
      <c r="A3018" s="1" t="s">
        <v>908</v>
      </c>
      <c r="B3018" s="1" t="s">
        <v>2110</v>
      </c>
      <c r="D3018" s="1" t="s">
        <v>2111</v>
      </c>
      <c r="E3018" s="1" t="s">
        <v>431</v>
      </c>
      <c r="F3018" s="3">
        <v>0</v>
      </c>
      <c r="G3018" s="8" t="s">
        <v>3895</v>
      </c>
      <c r="H3018" s="8" t="s">
        <v>5159</v>
      </c>
      <c r="I3018" s="3">
        <v>22</v>
      </c>
      <c r="J3018" s="3" t="s">
        <v>6101</v>
      </c>
      <c r="K3018" s="17" t="str">
        <f>HYPERLINK("http://ictvonline.org/taxonomyHistory.asp?taxnode_id=20173248","ICTVonline=20173248")</f>
        <v>ICTVonline=20173248</v>
      </c>
      <c r="L3018" s="3">
        <v>3017</v>
      </c>
    </row>
    <row r="3019" spans="1:12" x14ac:dyDescent="0.15">
      <c r="A3019" s="1" t="s">
        <v>908</v>
      </c>
      <c r="B3019" s="1" t="s">
        <v>2110</v>
      </c>
      <c r="D3019" s="1" t="s">
        <v>2111</v>
      </c>
      <c r="E3019" s="1" t="s">
        <v>300</v>
      </c>
      <c r="F3019" s="3">
        <v>0</v>
      </c>
      <c r="G3019" s="8" t="s">
        <v>3895</v>
      </c>
      <c r="H3019" s="8" t="s">
        <v>5159</v>
      </c>
      <c r="I3019" s="3">
        <v>24</v>
      </c>
      <c r="J3019" s="3" t="s">
        <v>6103</v>
      </c>
      <c r="K3019" s="17" t="str">
        <f>HYPERLINK("http://ictvonline.org/taxonomyHistory.asp?taxnode_id=20173249","ICTVonline=20173249")</f>
        <v>ICTVonline=20173249</v>
      </c>
      <c r="L3019" s="3">
        <v>3018</v>
      </c>
    </row>
    <row r="3020" spans="1:12" x14ac:dyDescent="0.15">
      <c r="A3020" s="1" t="s">
        <v>908</v>
      </c>
      <c r="B3020" s="1" t="s">
        <v>2110</v>
      </c>
      <c r="D3020" s="1" t="s">
        <v>2111</v>
      </c>
      <c r="E3020" s="1" t="s">
        <v>301</v>
      </c>
      <c r="F3020" s="3">
        <v>0</v>
      </c>
      <c r="G3020" s="8" t="s">
        <v>3895</v>
      </c>
      <c r="H3020" s="8" t="s">
        <v>5159</v>
      </c>
      <c r="I3020" s="3">
        <v>23</v>
      </c>
      <c r="J3020" s="3" t="s">
        <v>6020</v>
      </c>
      <c r="K3020" s="17" t="str">
        <f>HYPERLINK("http://ictvonline.org/taxonomyHistory.asp?taxnode_id=20173250","ICTVonline=20173250")</f>
        <v>ICTVonline=20173250</v>
      </c>
      <c r="L3020" s="3">
        <v>3019</v>
      </c>
    </row>
    <row r="3021" spans="1:12" x14ac:dyDescent="0.15">
      <c r="A3021" s="1" t="s">
        <v>908</v>
      </c>
      <c r="B3021" s="1" t="s">
        <v>2110</v>
      </c>
      <c r="D3021" s="1" t="s">
        <v>2111</v>
      </c>
      <c r="E3021" s="1" t="s">
        <v>6123</v>
      </c>
      <c r="F3021" s="3">
        <v>0</v>
      </c>
      <c r="G3021" s="8" t="s">
        <v>3895</v>
      </c>
      <c r="H3021" s="8" t="s">
        <v>5159</v>
      </c>
      <c r="I3021" s="3">
        <v>32</v>
      </c>
      <c r="J3021" s="3" t="s">
        <v>6106</v>
      </c>
      <c r="K3021" s="17" t="str">
        <f>HYPERLINK("http://ictvonline.org/taxonomyHistory.asp?taxnode_id=20175800","ICTVonline=20175800")</f>
        <v>ICTVonline=20175800</v>
      </c>
      <c r="L3021" s="3">
        <v>3020</v>
      </c>
    </row>
    <row r="3022" spans="1:12" x14ac:dyDescent="0.15">
      <c r="A3022" s="1" t="s">
        <v>908</v>
      </c>
      <c r="B3022" s="1" t="s">
        <v>2110</v>
      </c>
      <c r="D3022" s="1" t="s">
        <v>2111</v>
      </c>
      <c r="E3022" s="1" t="s">
        <v>302</v>
      </c>
      <c r="F3022" s="3">
        <v>0</v>
      </c>
      <c r="G3022" s="8" t="s">
        <v>3895</v>
      </c>
      <c r="H3022" s="8" t="s">
        <v>5159</v>
      </c>
      <c r="I3022" s="3">
        <v>24</v>
      </c>
      <c r="J3022" s="3" t="s">
        <v>6103</v>
      </c>
      <c r="K3022" s="17" t="str">
        <f>HYPERLINK("http://ictvonline.org/taxonomyHistory.asp?taxnode_id=20173251","ICTVonline=20173251")</f>
        <v>ICTVonline=20173251</v>
      </c>
      <c r="L3022" s="3">
        <v>3021</v>
      </c>
    </row>
    <row r="3023" spans="1:12" x14ac:dyDescent="0.15">
      <c r="A3023" s="1" t="s">
        <v>908</v>
      </c>
      <c r="B3023" s="1" t="s">
        <v>2110</v>
      </c>
      <c r="D3023" s="1" t="s">
        <v>2111</v>
      </c>
      <c r="E3023" s="1" t="s">
        <v>6124</v>
      </c>
      <c r="F3023" s="3">
        <v>0</v>
      </c>
      <c r="G3023" s="8" t="s">
        <v>3895</v>
      </c>
      <c r="H3023" s="8" t="s">
        <v>5159</v>
      </c>
      <c r="I3023" s="3">
        <v>32</v>
      </c>
      <c r="J3023" s="3" t="s">
        <v>6106</v>
      </c>
      <c r="K3023" s="17" t="str">
        <f>HYPERLINK("http://ictvonline.org/taxonomyHistory.asp?taxnode_id=20175801","ICTVonline=20175801")</f>
        <v>ICTVonline=20175801</v>
      </c>
      <c r="L3023" s="3">
        <v>3022</v>
      </c>
    </row>
    <row r="3024" spans="1:12" x14ac:dyDescent="0.15">
      <c r="A3024" s="1" t="s">
        <v>908</v>
      </c>
      <c r="B3024" s="1" t="s">
        <v>2110</v>
      </c>
      <c r="D3024" s="1" t="s">
        <v>2111</v>
      </c>
      <c r="E3024" s="1" t="s">
        <v>2418</v>
      </c>
      <c r="F3024" s="3">
        <v>0</v>
      </c>
      <c r="G3024" s="8" t="s">
        <v>3895</v>
      </c>
      <c r="H3024" s="8" t="s">
        <v>5159</v>
      </c>
      <c r="I3024" s="3">
        <v>28</v>
      </c>
      <c r="J3024" s="3" t="s">
        <v>6100</v>
      </c>
      <c r="K3024" s="17" t="str">
        <f>HYPERLINK("http://ictvonline.org/taxonomyHistory.asp?taxnode_id=20173252","ICTVonline=20173252")</f>
        <v>ICTVonline=20173252</v>
      </c>
      <c r="L3024" s="3">
        <v>3023</v>
      </c>
    </row>
    <row r="3025" spans="1:12" x14ac:dyDescent="0.15">
      <c r="A3025" s="1" t="s">
        <v>908</v>
      </c>
      <c r="B3025" s="1" t="s">
        <v>2110</v>
      </c>
      <c r="D3025" s="1" t="s">
        <v>2111</v>
      </c>
      <c r="E3025" s="1" t="s">
        <v>3926</v>
      </c>
      <c r="F3025" s="3">
        <v>0</v>
      </c>
      <c r="G3025" s="8" t="s">
        <v>3895</v>
      </c>
      <c r="H3025" s="8" t="s">
        <v>5159</v>
      </c>
      <c r="I3025" s="3">
        <v>30</v>
      </c>
      <c r="J3025" s="3" t="s">
        <v>6099</v>
      </c>
      <c r="K3025" s="17" t="str">
        <f>HYPERLINK("http://ictvonline.org/taxonomyHistory.asp?taxnode_id=20173253","ICTVonline=20173253")</f>
        <v>ICTVonline=20173253</v>
      </c>
      <c r="L3025" s="3">
        <v>3024</v>
      </c>
    </row>
    <row r="3026" spans="1:12" x14ac:dyDescent="0.15">
      <c r="A3026" s="1" t="s">
        <v>908</v>
      </c>
      <c r="B3026" s="1" t="s">
        <v>2110</v>
      </c>
      <c r="D3026" s="1" t="s">
        <v>2111</v>
      </c>
      <c r="E3026" s="1" t="s">
        <v>3927</v>
      </c>
      <c r="F3026" s="3">
        <v>0</v>
      </c>
      <c r="G3026" s="8" t="s">
        <v>3895</v>
      </c>
      <c r="H3026" s="8" t="s">
        <v>5159</v>
      </c>
      <c r="I3026" s="3">
        <v>30</v>
      </c>
      <c r="J3026" s="3" t="s">
        <v>6099</v>
      </c>
      <c r="K3026" s="17" t="str">
        <f>HYPERLINK("http://ictvonline.org/taxonomyHistory.asp?taxnode_id=20173254","ICTVonline=20173254")</f>
        <v>ICTVonline=20173254</v>
      </c>
      <c r="L3026" s="3">
        <v>3025</v>
      </c>
    </row>
    <row r="3027" spans="1:12" x14ac:dyDescent="0.15">
      <c r="A3027" s="1" t="s">
        <v>908</v>
      </c>
      <c r="B3027" s="1" t="s">
        <v>2110</v>
      </c>
      <c r="D3027" s="1" t="s">
        <v>2111</v>
      </c>
      <c r="E3027" s="1" t="s">
        <v>3928</v>
      </c>
      <c r="F3027" s="3">
        <v>0</v>
      </c>
      <c r="G3027" s="8" t="s">
        <v>3895</v>
      </c>
      <c r="H3027" s="8" t="s">
        <v>5159</v>
      </c>
      <c r="I3027" s="3">
        <v>30</v>
      </c>
      <c r="J3027" s="3" t="s">
        <v>6099</v>
      </c>
      <c r="K3027" s="17" t="str">
        <f>HYPERLINK("http://ictvonline.org/taxonomyHistory.asp?taxnode_id=20173255","ICTVonline=20173255")</f>
        <v>ICTVonline=20173255</v>
      </c>
      <c r="L3027" s="3">
        <v>3026</v>
      </c>
    </row>
    <row r="3028" spans="1:12" x14ac:dyDescent="0.15">
      <c r="A3028" s="1" t="s">
        <v>908</v>
      </c>
      <c r="B3028" s="1" t="s">
        <v>2110</v>
      </c>
      <c r="D3028" s="1" t="s">
        <v>2111</v>
      </c>
      <c r="E3028" s="1" t="s">
        <v>2419</v>
      </c>
      <c r="F3028" s="3">
        <v>0</v>
      </c>
      <c r="G3028" s="8" t="s">
        <v>3895</v>
      </c>
      <c r="H3028" s="8" t="s">
        <v>5159</v>
      </c>
      <c r="I3028" s="3">
        <v>28</v>
      </c>
      <c r="J3028" s="3" t="s">
        <v>6100</v>
      </c>
      <c r="K3028" s="17" t="str">
        <f>HYPERLINK("http://ictvonline.org/taxonomyHistory.asp?taxnode_id=20173256","ICTVonline=20173256")</f>
        <v>ICTVonline=20173256</v>
      </c>
      <c r="L3028" s="3">
        <v>3027</v>
      </c>
    </row>
    <row r="3029" spans="1:12" x14ac:dyDescent="0.15">
      <c r="A3029" s="1" t="s">
        <v>908</v>
      </c>
      <c r="B3029" s="1" t="s">
        <v>2110</v>
      </c>
      <c r="D3029" s="1" t="s">
        <v>2111</v>
      </c>
      <c r="E3029" s="1" t="s">
        <v>6125</v>
      </c>
      <c r="F3029" s="3">
        <v>0</v>
      </c>
      <c r="G3029" s="8" t="s">
        <v>3895</v>
      </c>
      <c r="H3029" s="8" t="s">
        <v>5159</v>
      </c>
      <c r="I3029" s="3">
        <v>32</v>
      </c>
      <c r="J3029" s="3" t="s">
        <v>6106</v>
      </c>
      <c r="K3029" s="17" t="str">
        <f>HYPERLINK("http://ictvonline.org/taxonomyHistory.asp?taxnode_id=20175802","ICTVonline=20175802")</f>
        <v>ICTVonline=20175802</v>
      </c>
      <c r="L3029" s="3">
        <v>3028</v>
      </c>
    </row>
    <row r="3030" spans="1:12" x14ac:dyDescent="0.15">
      <c r="A3030" s="1" t="s">
        <v>908</v>
      </c>
      <c r="B3030" s="1" t="s">
        <v>2110</v>
      </c>
      <c r="D3030" s="1" t="s">
        <v>2111</v>
      </c>
      <c r="E3030" s="1" t="s">
        <v>1706</v>
      </c>
      <c r="F3030" s="3">
        <v>0</v>
      </c>
      <c r="G3030" s="8" t="s">
        <v>3895</v>
      </c>
      <c r="H3030" s="8" t="s">
        <v>5161</v>
      </c>
      <c r="I3030" s="3">
        <v>16</v>
      </c>
      <c r="J3030" s="3" t="s">
        <v>6032</v>
      </c>
      <c r="K3030" s="17" t="str">
        <f>HYPERLINK("http://ictvonline.org/taxonomyHistory.asp?taxnode_id=20173257","ICTVonline=20173257")</f>
        <v>ICTVonline=20173257</v>
      </c>
      <c r="L3030" s="3">
        <v>3029</v>
      </c>
    </row>
    <row r="3031" spans="1:12" x14ac:dyDescent="0.15">
      <c r="A3031" s="1" t="s">
        <v>908</v>
      </c>
      <c r="B3031" s="1" t="s">
        <v>2110</v>
      </c>
      <c r="D3031" s="1" t="s">
        <v>2111</v>
      </c>
      <c r="E3031" s="1" t="s">
        <v>1707</v>
      </c>
      <c r="F3031" s="3">
        <v>0</v>
      </c>
      <c r="G3031" s="8" t="s">
        <v>3895</v>
      </c>
      <c r="H3031" s="8" t="s">
        <v>5168</v>
      </c>
      <c r="I3031" s="3">
        <v>24</v>
      </c>
      <c r="J3031" s="3" t="s">
        <v>6104</v>
      </c>
      <c r="K3031" s="17" t="str">
        <f>HYPERLINK("http://ictvonline.org/taxonomyHistory.asp?taxnode_id=20173258","ICTVonline=20173258")</f>
        <v>ICTVonline=20173258</v>
      </c>
      <c r="L3031" s="3">
        <v>3030</v>
      </c>
    </row>
    <row r="3032" spans="1:12" x14ac:dyDescent="0.15">
      <c r="A3032" s="1" t="s">
        <v>908</v>
      </c>
      <c r="B3032" s="1" t="s">
        <v>2110</v>
      </c>
      <c r="D3032" s="1" t="s">
        <v>2111</v>
      </c>
      <c r="E3032" s="1" t="s">
        <v>1182</v>
      </c>
      <c r="F3032" s="3">
        <v>0</v>
      </c>
      <c r="G3032" s="8" t="s">
        <v>3895</v>
      </c>
      <c r="H3032" s="8" t="s">
        <v>5159</v>
      </c>
      <c r="I3032" s="3">
        <v>24</v>
      </c>
      <c r="J3032" s="3" t="s">
        <v>6102</v>
      </c>
      <c r="K3032" s="17" t="str">
        <f>HYPERLINK("http://ictvonline.org/taxonomyHistory.asp?taxnode_id=20173259","ICTVonline=20173259")</f>
        <v>ICTVonline=20173259</v>
      </c>
      <c r="L3032" s="3">
        <v>3031</v>
      </c>
    </row>
    <row r="3033" spans="1:12" x14ac:dyDescent="0.15">
      <c r="A3033" s="1" t="s">
        <v>908</v>
      </c>
      <c r="B3033" s="1" t="s">
        <v>2110</v>
      </c>
      <c r="D3033" s="1" t="s">
        <v>2111</v>
      </c>
      <c r="E3033" s="1" t="s">
        <v>1183</v>
      </c>
      <c r="F3033" s="3">
        <v>0</v>
      </c>
      <c r="G3033" s="8" t="s">
        <v>3895</v>
      </c>
      <c r="H3033" s="8" t="s">
        <v>5161</v>
      </c>
      <c r="I3033" s="3">
        <v>16</v>
      </c>
      <c r="J3033" s="3" t="s">
        <v>6032</v>
      </c>
      <c r="K3033" s="17" t="str">
        <f>HYPERLINK("http://ictvonline.org/taxonomyHistory.asp?taxnode_id=20173260","ICTVonline=20173260")</f>
        <v>ICTVonline=20173260</v>
      </c>
      <c r="L3033" s="3">
        <v>3032</v>
      </c>
    </row>
    <row r="3034" spans="1:12" x14ac:dyDescent="0.15">
      <c r="A3034" s="1" t="s">
        <v>908</v>
      </c>
      <c r="B3034" s="1" t="s">
        <v>2110</v>
      </c>
      <c r="D3034" s="1" t="s">
        <v>2111</v>
      </c>
      <c r="E3034" s="1" t="s">
        <v>2420</v>
      </c>
      <c r="F3034" s="3">
        <v>0</v>
      </c>
      <c r="G3034" s="8" t="s">
        <v>3895</v>
      </c>
      <c r="H3034" s="8" t="s">
        <v>5159</v>
      </c>
      <c r="I3034" s="3">
        <v>28</v>
      </c>
      <c r="J3034" s="3" t="s">
        <v>6100</v>
      </c>
      <c r="K3034" s="17" t="str">
        <f>HYPERLINK("http://ictvonline.org/taxonomyHistory.asp?taxnode_id=20173261","ICTVonline=20173261")</f>
        <v>ICTVonline=20173261</v>
      </c>
      <c r="L3034" s="3">
        <v>3033</v>
      </c>
    </row>
    <row r="3035" spans="1:12" x14ac:dyDescent="0.15">
      <c r="A3035" s="1" t="s">
        <v>908</v>
      </c>
      <c r="B3035" s="1" t="s">
        <v>2110</v>
      </c>
      <c r="D3035" s="1" t="s">
        <v>2111</v>
      </c>
      <c r="E3035" s="1" t="s">
        <v>6126</v>
      </c>
      <c r="F3035" s="3">
        <v>0</v>
      </c>
      <c r="G3035" s="8" t="s">
        <v>3895</v>
      </c>
      <c r="H3035" s="8" t="s">
        <v>5159</v>
      </c>
      <c r="I3035" s="3">
        <v>32</v>
      </c>
      <c r="J3035" s="3" t="s">
        <v>6106</v>
      </c>
      <c r="K3035" s="17" t="str">
        <f>HYPERLINK("http://ictvonline.org/taxonomyHistory.asp?taxnode_id=20175803","ICTVonline=20175803")</f>
        <v>ICTVonline=20175803</v>
      </c>
      <c r="L3035" s="3">
        <v>3034</v>
      </c>
    </row>
    <row r="3036" spans="1:12" x14ac:dyDescent="0.15">
      <c r="A3036" s="1" t="s">
        <v>908</v>
      </c>
      <c r="B3036" s="1" t="s">
        <v>2110</v>
      </c>
      <c r="D3036" s="1" t="s">
        <v>2111</v>
      </c>
      <c r="E3036" s="1" t="s">
        <v>6127</v>
      </c>
      <c r="F3036" s="3">
        <v>0</v>
      </c>
      <c r="G3036" s="8" t="s">
        <v>3895</v>
      </c>
      <c r="H3036" s="8" t="s">
        <v>5159</v>
      </c>
      <c r="I3036" s="3">
        <v>32</v>
      </c>
      <c r="J3036" s="3" t="s">
        <v>6106</v>
      </c>
      <c r="K3036" s="17" t="str">
        <f>HYPERLINK("http://ictvonline.org/taxonomyHistory.asp?taxnode_id=20175804","ICTVonline=20175804")</f>
        <v>ICTVonline=20175804</v>
      </c>
      <c r="L3036" s="3">
        <v>3035</v>
      </c>
    </row>
    <row r="3037" spans="1:12" x14ac:dyDescent="0.15">
      <c r="A3037" s="1" t="s">
        <v>908</v>
      </c>
      <c r="B3037" s="1" t="s">
        <v>2110</v>
      </c>
      <c r="D3037" s="1" t="s">
        <v>2111</v>
      </c>
      <c r="E3037" s="1" t="s">
        <v>3929</v>
      </c>
      <c r="F3037" s="3">
        <v>0</v>
      </c>
      <c r="G3037" s="8" t="s">
        <v>3895</v>
      </c>
      <c r="H3037" s="8" t="s">
        <v>5159</v>
      </c>
      <c r="I3037" s="3">
        <v>30</v>
      </c>
      <c r="J3037" s="3" t="s">
        <v>6099</v>
      </c>
      <c r="K3037" s="17" t="str">
        <f>HYPERLINK("http://ictvonline.org/taxonomyHistory.asp?taxnode_id=20173262","ICTVonline=20173262")</f>
        <v>ICTVonline=20173262</v>
      </c>
      <c r="L3037" s="3">
        <v>3036</v>
      </c>
    </row>
    <row r="3038" spans="1:12" x14ac:dyDescent="0.15">
      <c r="A3038" s="1" t="s">
        <v>908</v>
      </c>
      <c r="B3038" s="1" t="s">
        <v>2110</v>
      </c>
      <c r="D3038" s="1" t="s">
        <v>2111</v>
      </c>
      <c r="E3038" s="1" t="s">
        <v>6128</v>
      </c>
      <c r="F3038" s="3">
        <v>0</v>
      </c>
      <c r="G3038" s="8" t="s">
        <v>3895</v>
      </c>
      <c r="H3038" s="8" t="s">
        <v>5159</v>
      </c>
      <c r="I3038" s="3">
        <v>32</v>
      </c>
      <c r="J3038" s="3" t="s">
        <v>6106</v>
      </c>
      <c r="K3038" s="17" t="str">
        <f>HYPERLINK("http://ictvonline.org/taxonomyHistory.asp?taxnode_id=20175805","ICTVonline=20175805")</f>
        <v>ICTVonline=20175805</v>
      </c>
      <c r="L3038" s="3">
        <v>3037</v>
      </c>
    </row>
    <row r="3039" spans="1:12" x14ac:dyDescent="0.15">
      <c r="A3039" s="1" t="s">
        <v>908</v>
      </c>
      <c r="B3039" s="1" t="s">
        <v>2110</v>
      </c>
      <c r="D3039" s="1" t="s">
        <v>2111</v>
      </c>
      <c r="E3039" s="1" t="s">
        <v>2421</v>
      </c>
      <c r="F3039" s="3">
        <v>0</v>
      </c>
      <c r="G3039" s="8" t="s">
        <v>3895</v>
      </c>
      <c r="H3039" s="8" t="s">
        <v>5159</v>
      </c>
      <c r="I3039" s="3">
        <v>28</v>
      </c>
      <c r="J3039" s="3" t="s">
        <v>6100</v>
      </c>
      <c r="K3039" s="17" t="str">
        <f>HYPERLINK("http://ictvonline.org/taxonomyHistory.asp?taxnode_id=20173263","ICTVonline=20173263")</f>
        <v>ICTVonline=20173263</v>
      </c>
      <c r="L3039" s="3">
        <v>3038</v>
      </c>
    </row>
    <row r="3040" spans="1:12" x14ac:dyDescent="0.15">
      <c r="A3040" s="1" t="s">
        <v>908</v>
      </c>
      <c r="B3040" s="1" t="s">
        <v>2110</v>
      </c>
      <c r="D3040" s="1" t="s">
        <v>2111</v>
      </c>
      <c r="E3040" s="1" t="s">
        <v>3930</v>
      </c>
      <c r="F3040" s="3">
        <v>0</v>
      </c>
      <c r="G3040" s="8" t="s">
        <v>3895</v>
      </c>
      <c r="H3040" s="8" t="s">
        <v>5159</v>
      </c>
      <c r="I3040" s="3">
        <v>30</v>
      </c>
      <c r="J3040" s="3" t="s">
        <v>6099</v>
      </c>
      <c r="K3040" s="17" t="str">
        <f>HYPERLINK("http://ictvonline.org/taxonomyHistory.asp?taxnode_id=20173264","ICTVonline=20173264")</f>
        <v>ICTVonline=20173264</v>
      </c>
      <c r="L3040" s="3">
        <v>3039</v>
      </c>
    </row>
    <row r="3041" spans="1:12" x14ac:dyDescent="0.15">
      <c r="A3041" s="1" t="s">
        <v>908</v>
      </c>
      <c r="B3041" s="1" t="s">
        <v>2110</v>
      </c>
      <c r="D3041" s="1" t="s">
        <v>2111</v>
      </c>
      <c r="E3041" s="1" t="s">
        <v>3931</v>
      </c>
      <c r="F3041" s="3">
        <v>0</v>
      </c>
      <c r="G3041" s="8" t="s">
        <v>3895</v>
      </c>
      <c r="H3041" s="8" t="s">
        <v>5159</v>
      </c>
      <c r="I3041" s="3">
        <v>30</v>
      </c>
      <c r="J3041" s="3" t="s">
        <v>6099</v>
      </c>
      <c r="K3041" s="17" t="str">
        <f>HYPERLINK("http://ictvonline.org/taxonomyHistory.asp?taxnode_id=20173265","ICTVonline=20173265")</f>
        <v>ICTVonline=20173265</v>
      </c>
      <c r="L3041" s="3">
        <v>3040</v>
      </c>
    </row>
    <row r="3042" spans="1:12" x14ac:dyDescent="0.15">
      <c r="A3042" s="1" t="s">
        <v>908</v>
      </c>
      <c r="B3042" s="1" t="s">
        <v>2110</v>
      </c>
      <c r="D3042" s="1" t="s">
        <v>2111</v>
      </c>
      <c r="E3042" s="1" t="s">
        <v>3932</v>
      </c>
      <c r="F3042" s="3">
        <v>0</v>
      </c>
      <c r="G3042" s="8" t="s">
        <v>3895</v>
      </c>
      <c r="H3042" s="8" t="s">
        <v>5159</v>
      </c>
      <c r="I3042" s="3">
        <v>30</v>
      </c>
      <c r="J3042" s="3" t="s">
        <v>6099</v>
      </c>
      <c r="K3042" s="17" t="str">
        <f>HYPERLINK("http://ictvonline.org/taxonomyHistory.asp?taxnode_id=20173266","ICTVonline=20173266")</f>
        <v>ICTVonline=20173266</v>
      </c>
      <c r="L3042" s="3">
        <v>3041</v>
      </c>
    </row>
    <row r="3043" spans="1:12" x14ac:dyDescent="0.15">
      <c r="A3043" s="1" t="s">
        <v>908</v>
      </c>
      <c r="B3043" s="1" t="s">
        <v>2110</v>
      </c>
      <c r="D3043" s="1" t="s">
        <v>2111</v>
      </c>
      <c r="E3043" s="1" t="s">
        <v>1184</v>
      </c>
      <c r="F3043" s="3">
        <v>0</v>
      </c>
      <c r="G3043" s="8" t="s">
        <v>3895</v>
      </c>
      <c r="H3043" s="8" t="s">
        <v>5159</v>
      </c>
      <c r="I3043" s="3">
        <v>24</v>
      </c>
      <c r="J3043" s="3" t="s">
        <v>6103</v>
      </c>
      <c r="K3043" s="17" t="str">
        <f>HYPERLINK("http://ictvonline.org/taxonomyHistory.asp?taxnode_id=20173267","ICTVonline=20173267")</f>
        <v>ICTVonline=20173267</v>
      </c>
      <c r="L3043" s="3">
        <v>3042</v>
      </c>
    </row>
    <row r="3044" spans="1:12" x14ac:dyDescent="0.15">
      <c r="A3044" s="1" t="s">
        <v>908</v>
      </c>
      <c r="B3044" s="1" t="s">
        <v>2110</v>
      </c>
      <c r="D3044" s="1" t="s">
        <v>2111</v>
      </c>
      <c r="E3044" s="1" t="s">
        <v>2422</v>
      </c>
      <c r="F3044" s="3">
        <v>0</v>
      </c>
      <c r="G3044" s="8" t="s">
        <v>3895</v>
      </c>
      <c r="H3044" s="8" t="s">
        <v>5159</v>
      </c>
      <c r="I3044" s="3">
        <v>28</v>
      </c>
      <c r="J3044" s="3" t="s">
        <v>6100</v>
      </c>
      <c r="K3044" s="17" t="str">
        <f>HYPERLINK("http://ictvonline.org/taxonomyHistory.asp?taxnode_id=20173268","ICTVonline=20173268")</f>
        <v>ICTVonline=20173268</v>
      </c>
      <c r="L3044" s="3">
        <v>3043</v>
      </c>
    </row>
    <row r="3045" spans="1:12" x14ac:dyDescent="0.15">
      <c r="A3045" s="1" t="s">
        <v>908</v>
      </c>
      <c r="B3045" s="1" t="s">
        <v>2110</v>
      </c>
      <c r="D3045" s="1" t="s">
        <v>2111</v>
      </c>
      <c r="E3045" s="1" t="s">
        <v>1185</v>
      </c>
      <c r="F3045" s="3">
        <v>0</v>
      </c>
      <c r="G3045" s="8" t="s">
        <v>3895</v>
      </c>
      <c r="H3045" s="8" t="s">
        <v>5159</v>
      </c>
      <c r="I3045" s="3">
        <v>24</v>
      </c>
      <c r="J3045" s="3" t="s">
        <v>6102</v>
      </c>
      <c r="K3045" s="17" t="str">
        <f>HYPERLINK("http://ictvonline.org/taxonomyHistory.asp?taxnode_id=20173269","ICTVonline=20173269")</f>
        <v>ICTVonline=20173269</v>
      </c>
      <c r="L3045" s="3">
        <v>3044</v>
      </c>
    </row>
    <row r="3046" spans="1:12" x14ac:dyDescent="0.15">
      <c r="A3046" s="1" t="s">
        <v>908</v>
      </c>
      <c r="B3046" s="1" t="s">
        <v>2110</v>
      </c>
      <c r="D3046" s="1" t="s">
        <v>2111</v>
      </c>
      <c r="E3046" s="1" t="s">
        <v>6129</v>
      </c>
      <c r="F3046" s="3">
        <v>0</v>
      </c>
      <c r="G3046" s="8" t="s">
        <v>3895</v>
      </c>
      <c r="H3046" s="8" t="s">
        <v>5159</v>
      </c>
      <c r="I3046" s="3">
        <v>32</v>
      </c>
      <c r="J3046" s="3" t="s">
        <v>6106</v>
      </c>
      <c r="K3046" s="17" t="str">
        <f>HYPERLINK("http://ictvonline.org/taxonomyHistory.asp?taxnode_id=20175806","ICTVonline=20175806")</f>
        <v>ICTVonline=20175806</v>
      </c>
      <c r="L3046" s="3">
        <v>3045</v>
      </c>
    </row>
    <row r="3047" spans="1:12" x14ac:dyDescent="0.15">
      <c r="A3047" s="1" t="s">
        <v>908</v>
      </c>
      <c r="B3047" s="1" t="s">
        <v>2110</v>
      </c>
      <c r="D3047" s="1" t="s">
        <v>2111</v>
      </c>
      <c r="E3047" s="1" t="s">
        <v>1202</v>
      </c>
      <c r="F3047" s="3">
        <v>0</v>
      </c>
      <c r="G3047" s="8" t="s">
        <v>3895</v>
      </c>
      <c r="H3047" s="8" t="s">
        <v>5159</v>
      </c>
      <c r="I3047" s="3">
        <v>24</v>
      </c>
      <c r="J3047" s="3" t="s">
        <v>6103</v>
      </c>
      <c r="K3047" s="17" t="str">
        <f>HYPERLINK("http://ictvonline.org/taxonomyHistory.asp?taxnode_id=20173270","ICTVonline=20173270")</f>
        <v>ICTVonline=20173270</v>
      </c>
      <c r="L3047" s="3">
        <v>3046</v>
      </c>
    </row>
    <row r="3048" spans="1:12" x14ac:dyDescent="0.15">
      <c r="A3048" s="1" t="s">
        <v>908</v>
      </c>
      <c r="B3048" s="1" t="s">
        <v>2110</v>
      </c>
      <c r="D3048" s="1" t="s">
        <v>2111</v>
      </c>
      <c r="E3048" s="1" t="s">
        <v>1203</v>
      </c>
      <c r="F3048" s="3">
        <v>0</v>
      </c>
      <c r="G3048" s="8" t="s">
        <v>3895</v>
      </c>
      <c r="H3048" s="8" t="s">
        <v>5159</v>
      </c>
      <c r="I3048" s="3">
        <v>24</v>
      </c>
      <c r="J3048" s="3" t="s">
        <v>6107</v>
      </c>
      <c r="K3048" s="17" t="str">
        <f>HYPERLINK("http://ictvonline.org/taxonomyHistory.asp?taxnode_id=20173271","ICTVonline=20173271")</f>
        <v>ICTVonline=20173271</v>
      </c>
      <c r="L3048" s="3">
        <v>3047</v>
      </c>
    </row>
    <row r="3049" spans="1:12" x14ac:dyDescent="0.15">
      <c r="A3049" s="1" t="s">
        <v>908</v>
      </c>
      <c r="B3049" s="1" t="s">
        <v>2110</v>
      </c>
      <c r="D3049" s="1" t="s">
        <v>2111</v>
      </c>
      <c r="E3049" s="1" t="s">
        <v>1204</v>
      </c>
      <c r="F3049" s="3">
        <v>0</v>
      </c>
      <c r="G3049" s="8" t="s">
        <v>3895</v>
      </c>
      <c r="H3049" s="8" t="s">
        <v>5159</v>
      </c>
      <c r="I3049" s="3">
        <v>23</v>
      </c>
      <c r="J3049" s="3" t="s">
        <v>6020</v>
      </c>
      <c r="K3049" s="17" t="str">
        <f>HYPERLINK("http://ictvonline.org/taxonomyHistory.asp?taxnode_id=20173272","ICTVonline=20173272")</f>
        <v>ICTVonline=20173272</v>
      </c>
      <c r="L3049" s="3">
        <v>3048</v>
      </c>
    </row>
    <row r="3050" spans="1:12" x14ac:dyDescent="0.15">
      <c r="A3050" s="1" t="s">
        <v>908</v>
      </c>
      <c r="B3050" s="1" t="s">
        <v>2110</v>
      </c>
      <c r="D3050" s="1" t="s">
        <v>2111</v>
      </c>
      <c r="E3050" s="1" t="s">
        <v>6130</v>
      </c>
      <c r="F3050" s="3">
        <v>0</v>
      </c>
      <c r="G3050" s="8" t="s">
        <v>3895</v>
      </c>
      <c r="H3050" s="8" t="s">
        <v>5159</v>
      </c>
      <c r="I3050" s="3">
        <v>32</v>
      </c>
      <c r="J3050" s="3" t="s">
        <v>6106</v>
      </c>
      <c r="K3050" s="17" t="str">
        <f>HYPERLINK("http://ictvonline.org/taxonomyHistory.asp?taxnode_id=20175807","ICTVonline=20175807")</f>
        <v>ICTVonline=20175807</v>
      </c>
      <c r="L3050" s="3">
        <v>3049</v>
      </c>
    </row>
    <row r="3051" spans="1:12" x14ac:dyDescent="0.15">
      <c r="A3051" s="1" t="s">
        <v>908</v>
      </c>
      <c r="B3051" s="1" t="s">
        <v>2110</v>
      </c>
      <c r="D3051" s="1" t="s">
        <v>2111</v>
      </c>
      <c r="E3051" s="1" t="s">
        <v>6131</v>
      </c>
      <c r="F3051" s="3">
        <v>0</v>
      </c>
      <c r="G3051" s="8" t="s">
        <v>3895</v>
      </c>
      <c r="H3051" s="8" t="s">
        <v>5159</v>
      </c>
      <c r="I3051" s="3">
        <v>32</v>
      </c>
      <c r="J3051" s="3" t="s">
        <v>6106</v>
      </c>
      <c r="K3051" s="17" t="str">
        <f>HYPERLINK("http://ictvonline.org/taxonomyHistory.asp?taxnode_id=20175808","ICTVonline=20175808")</f>
        <v>ICTVonline=20175808</v>
      </c>
      <c r="L3051" s="3">
        <v>3050</v>
      </c>
    </row>
    <row r="3052" spans="1:12" x14ac:dyDescent="0.15">
      <c r="A3052" s="1" t="s">
        <v>908</v>
      </c>
      <c r="B3052" s="1" t="s">
        <v>2110</v>
      </c>
      <c r="D3052" s="1" t="s">
        <v>2111</v>
      </c>
      <c r="E3052" s="1" t="s">
        <v>6132</v>
      </c>
      <c r="F3052" s="3">
        <v>0</v>
      </c>
      <c r="G3052" s="8" t="s">
        <v>3895</v>
      </c>
      <c r="H3052" s="8" t="s">
        <v>5159</v>
      </c>
      <c r="I3052" s="3">
        <v>32</v>
      </c>
      <c r="J3052" s="3" t="s">
        <v>6106</v>
      </c>
      <c r="K3052" s="17" t="str">
        <f>HYPERLINK("http://ictvonline.org/taxonomyHistory.asp?taxnode_id=20175809","ICTVonline=20175809")</f>
        <v>ICTVonline=20175809</v>
      </c>
      <c r="L3052" s="3">
        <v>3051</v>
      </c>
    </row>
    <row r="3053" spans="1:12" x14ac:dyDescent="0.15">
      <c r="A3053" s="1" t="s">
        <v>908</v>
      </c>
      <c r="B3053" s="1" t="s">
        <v>2110</v>
      </c>
      <c r="D3053" s="1" t="s">
        <v>2111</v>
      </c>
      <c r="E3053" s="1" t="s">
        <v>2423</v>
      </c>
      <c r="F3053" s="3">
        <v>0</v>
      </c>
      <c r="G3053" s="8" t="s">
        <v>3895</v>
      </c>
      <c r="H3053" s="8" t="s">
        <v>5159</v>
      </c>
      <c r="I3053" s="3">
        <v>28</v>
      </c>
      <c r="J3053" s="3" t="s">
        <v>6100</v>
      </c>
      <c r="K3053" s="17" t="str">
        <f>HYPERLINK("http://ictvonline.org/taxonomyHistory.asp?taxnode_id=20173273","ICTVonline=20173273")</f>
        <v>ICTVonline=20173273</v>
      </c>
      <c r="L3053" s="3">
        <v>3052</v>
      </c>
    </row>
    <row r="3054" spans="1:12" x14ac:dyDescent="0.15">
      <c r="A3054" s="1" t="s">
        <v>908</v>
      </c>
      <c r="B3054" s="1" t="s">
        <v>2110</v>
      </c>
      <c r="D3054" s="1" t="s">
        <v>2111</v>
      </c>
      <c r="E3054" s="1" t="s">
        <v>1734</v>
      </c>
      <c r="F3054" s="3">
        <v>0</v>
      </c>
      <c r="G3054" s="8" t="s">
        <v>3895</v>
      </c>
      <c r="H3054" s="8" t="s">
        <v>5159</v>
      </c>
      <c r="I3054" s="3">
        <v>22</v>
      </c>
      <c r="J3054" s="3" t="s">
        <v>6101</v>
      </c>
      <c r="K3054" s="17" t="str">
        <f>HYPERLINK("http://ictvonline.org/taxonomyHistory.asp?taxnode_id=20173274","ICTVonline=20173274")</f>
        <v>ICTVonline=20173274</v>
      </c>
      <c r="L3054" s="3">
        <v>3053</v>
      </c>
    </row>
    <row r="3055" spans="1:12" x14ac:dyDescent="0.15">
      <c r="A3055" s="1" t="s">
        <v>908</v>
      </c>
      <c r="B3055" s="1" t="s">
        <v>2110</v>
      </c>
      <c r="D3055" s="1" t="s">
        <v>2111</v>
      </c>
      <c r="E3055" s="1" t="s">
        <v>1735</v>
      </c>
      <c r="F3055" s="3">
        <v>0</v>
      </c>
      <c r="G3055" s="8" t="s">
        <v>3895</v>
      </c>
      <c r="H3055" s="8" t="s">
        <v>5159</v>
      </c>
      <c r="I3055" s="3">
        <v>22</v>
      </c>
      <c r="J3055" s="3" t="s">
        <v>6101</v>
      </c>
      <c r="K3055" s="17" t="str">
        <f>HYPERLINK("http://ictvonline.org/taxonomyHistory.asp?taxnode_id=20173275","ICTVonline=20173275")</f>
        <v>ICTVonline=20173275</v>
      </c>
      <c r="L3055" s="3">
        <v>3054</v>
      </c>
    </row>
    <row r="3056" spans="1:12" x14ac:dyDescent="0.15">
      <c r="A3056" s="1" t="s">
        <v>908</v>
      </c>
      <c r="B3056" s="1" t="s">
        <v>2110</v>
      </c>
      <c r="D3056" s="1" t="s">
        <v>2111</v>
      </c>
      <c r="E3056" s="1" t="s">
        <v>1736</v>
      </c>
      <c r="F3056" s="3">
        <v>0</v>
      </c>
      <c r="G3056" s="8" t="s">
        <v>3895</v>
      </c>
      <c r="H3056" s="8" t="s">
        <v>5159</v>
      </c>
      <c r="I3056" s="3">
        <v>22</v>
      </c>
      <c r="J3056" s="3" t="s">
        <v>6101</v>
      </c>
      <c r="K3056" s="17" t="str">
        <f>HYPERLINK("http://ictvonline.org/taxonomyHistory.asp?taxnode_id=20173276","ICTVonline=20173276")</f>
        <v>ICTVonline=20173276</v>
      </c>
      <c r="L3056" s="3">
        <v>3055</v>
      </c>
    </row>
    <row r="3057" spans="1:12" x14ac:dyDescent="0.15">
      <c r="A3057" s="1" t="s">
        <v>908</v>
      </c>
      <c r="B3057" s="1" t="s">
        <v>2110</v>
      </c>
      <c r="D3057" s="1" t="s">
        <v>2111</v>
      </c>
      <c r="E3057" s="1" t="s">
        <v>2424</v>
      </c>
      <c r="F3057" s="3">
        <v>0</v>
      </c>
      <c r="G3057" s="8" t="s">
        <v>3895</v>
      </c>
      <c r="H3057" s="8" t="s">
        <v>5159</v>
      </c>
      <c r="I3057" s="3">
        <v>28</v>
      </c>
      <c r="J3057" s="3" t="s">
        <v>6100</v>
      </c>
      <c r="K3057" s="17" t="str">
        <f>HYPERLINK("http://ictvonline.org/taxonomyHistory.asp?taxnode_id=20173277","ICTVonline=20173277")</f>
        <v>ICTVonline=20173277</v>
      </c>
      <c r="L3057" s="3">
        <v>3056</v>
      </c>
    </row>
    <row r="3058" spans="1:12" x14ac:dyDescent="0.15">
      <c r="A3058" s="1" t="s">
        <v>908</v>
      </c>
      <c r="B3058" s="1" t="s">
        <v>2110</v>
      </c>
      <c r="D3058" s="1" t="s">
        <v>2111</v>
      </c>
      <c r="E3058" s="1" t="s">
        <v>2425</v>
      </c>
      <c r="F3058" s="3">
        <v>0</v>
      </c>
      <c r="G3058" s="8" t="s">
        <v>3895</v>
      </c>
      <c r="H3058" s="8" t="s">
        <v>5159</v>
      </c>
      <c r="I3058" s="3">
        <v>28</v>
      </c>
      <c r="J3058" s="3" t="s">
        <v>6100</v>
      </c>
      <c r="K3058" s="17" t="str">
        <f>HYPERLINK("http://ictvonline.org/taxonomyHistory.asp?taxnode_id=20173278","ICTVonline=20173278")</f>
        <v>ICTVonline=20173278</v>
      </c>
      <c r="L3058" s="3">
        <v>3057</v>
      </c>
    </row>
    <row r="3059" spans="1:12" x14ac:dyDescent="0.15">
      <c r="A3059" s="1" t="s">
        <v>908</v>
      </c>
      <c r="B3059" s="1" t="s">
        <v>2110</v>
      </c>
      <c r="D3059" s="1" t="s">
        <v>2111</v>
      </c>
      <c r="E3059" s="1" t="s">
        <v>6133</v>
      </c>
      <c r="F3059" s="3">
        <v>0</v>
      </c>
      <c r="G3059" s="8" t="s">
        <v>3895</v>
      </c>
      <c r="H3059" s="8" t="s">
        <v>5159</v>
      </c>
      <c r="I3059" s="3">
        <v>32</v>
      </c>
      <c r="J3059" s="3" t="s">
        <v>6106</v>
      </c>
      <c r="K3059" s="17" t="str">
        <f>HYPERLINK("http://ictvonline.org/taxonomyHistory.asp?taxnode_id=20175810","ICTVonline=20175810")</f>
        <v>ICTVonline=20175810</v>
      </c>
      <c r="L3059" s="3">
        <v>3058</v>
      </c>
    </row>
    <row r="3060" spans="1:12" x14ac:dyDescent="0.15">
      <c r="A3060" s="1" t="s">
        <v>908</v>
      </c>
      <c r="B3060" s="1" t="s">
        <v>2110</v>
      </c>
      <c r="D3060" s="1" t="s">
        <v>2111</v>
      </c>
      <c r="E3060" s="1" t="s">
        <v>3933</v>
      </c>
      <c r="F3060" s="3">
        <v>0</v>
      </c>
      <c r="G3060" s="8" t="s">
        <v>3895</v>
      </c>
      <c r="H3060" s="8" t="s">
        <v>5159</v>
      </c>
      <c r="I3060" s="3">
        <v>30</v>
      </c>
      <c r="J3060" s="3" t="s">
        <v>6099</v>
      </c>
      <c r="K3060" s="17" t="str">
        <f>HYPERLINK("http://ictvonline.org/taxonomyHistory.asp?taxnode_id=20173279","ICTVonline=20173279")</f>
        <v>ICTVonline=20173279</v>
      </c>
      <c r="L3060" s="3">
        <v>3059</v>
      </c>
    </row>
    <row r="3061" spans="1:12" x14ac:dyDescent="0.15">
      <c r="A3061" s="1" t="s">
        <v>908</v>
      </c>
      <c r="B3061" s="1" t="s">
        <v>2110</v>
      </c>
      <c r="D3061" s="1" t="s">
        <v>2111</v>
      </c>
      <c r="E3061" s="1" t="s">
        <v>1737</v>
      </c>
      <c r="F3061" s="3">
        <v>0</v>
      </c>
      <c r="G3061" s="8" t="s">
        <v>3895</v>
      </c>
      <c r="H3061" s="8" t="s">
        <v>5159</v>
      </c>
      <c r="I3061" s="3">
        <v>24</v>
      </c>
      <c r="J3061" s="3" t="s">
        <v>6107</v>
      </c>
      <c r="K3061" s="17" t="str">
        <f>HYPERLINK("http://ictvonline.org/taxonomyHistory.asp?taxnode_id=20173280","ICTVonline=20173280")</f>
        <v>ICTVonline=20173280</v>
      </c>
      <c r="L3061" s="3">
        <v>3060</v>
      </c>
    </row>
    <row r="3062" spans="1:12" x14ac:dyDescent="0.15">
      <c r="A3062" s="1" t="s">
        <v>908</v>
      </c>
      <c r="B3062" s="1" t="s">
        <v>2110</v>
      </c>
      <c r="D3062" s="1" t="s">
        <v>2111</v>
      </c>
      <c r="E3062" s="1" t="s">
        <v>2426</v>
      </c>
      <c r="F3062" s="3">
        <v>0</v>
      </c>
      <c r="G3062" s="8" t="s">
        <v>3895</v>
      </c>
      <c r="H3062" s="8" t="s">
        <v>5159</v>
      </c>
      <c r="I3062" s="3">
        <v>28</v>
      </c>
      <c r="J3062" s="3" t="s">
        <v>6100</v>
      </c>
      <c r="K3062" s="17" t="str">
        <f>HYPERLINK("http://ictvonline.org/taxonomyHistory.asp?taxnode_id=20173281","ICTVonline=20173281")</f>
        <v>ICTVonline=20173281</v>
      </c>
      <c r="L3062" s="3">
        <v>3061</v>
      </c>
    </row>
    <row r="3063" spans="1:12" x14ac:dyDescent="0.15">
      <c r="A3063" s="1" t="s">
        <v>908</v>
      </c>
      <c r="B3063" s="1" t="s">
        <v>2110</v>
      </c>
      <c r="D3063" s="1" t="s">
        <v>2111</v>
      </c>
      <c r="E3063" s="1" t="s">
        <v>2427</v>
      </c>
      <c r="F3063" s="3">
        <v>0</v>
      </c>
      <c r="G3063" s="8" t="s">
        <v>3895</v>
      </c>
      <c r="H3063" s="8" t="s">
        <v>5159</v>
      </c>
      <c r="I3063" s="3">
        <v>28</v>
      </c>
      <c r="J3063" s="3" t="s">
        <v>6100</v>
      </c>
      <c r="K3063" s="17" t="str">
        <f>HYPERLINK("http://ictvonline.org/taxonomyHistory.asp?taxnode_id=20173282","ICTVonline=20173282")</f>
        <v>ICTVonline=20173282</v>
      </c>
      <c r="L3063" s="3">
        <v>3062</v>
      </c>
    </row>
    <row r="3064" spans="1:12" x14ac:dyDescent="0.15">
      <c r="A3064" s="1" t="s">
        <v>908</v>
      </c>
      <c r="B3064" s="1" t="s">
        <v>2110</v>
      </c>
      <c r="D3064" s="1" t="s">
        <v>2111</v>
      </c>
      <c r="E3064" s="1" t="s">
        <v>1738</v>
      </c>
      <c r="F3064" s="3">
        <v>0</v>
      </c>
      <c r="G3064" s="8" t="s">
        <v>3895</v>
      </c>
      <c r="H3064" s="8" t="s">
        <v>5159</v>
      </c>
      <c r="I3064" s="3">
        <v>24</v>
      </c>
      <c r="J3064" s="3" t="s">
        <v>6107</v>
      </c>
      <c r="K3064" s="17" t="str">
        <f>HYPERLINK("http://ictvonline.org/taxonomyHistory.asp?taxnode_id=20173283","ICTVonline=20173283")</f>
        <v>ICTVonline=20173283</v>
      </c>
      <c r="L3064" s="3">
        <v>3063</v>
      </c>
    </row>
    <row r="3065" spans="1:12" x14ac:dyDescent="0.15">
      <c r="A3065" s="1" t="s">
        <v>908</v>
      </c>
      <c r="B3065" s="1" t="s">
        <v>2110</v>
      </c>
      <c r="D3065" s="1" t="s">
        <v>2111</v>
      </c>
      <c r="E3065" s="1" t="s">
        <v>6134</v>
      </c>
      <c r="F3065" s="3">
        <v>0</v>
      </c>
      <c r="G3065" s="8" t="s">
        <v>3895</v>
      </c>
      <c r="H3065" s="8" t="s">
        <v>5159</v>
      </c>
      <c r="I3065" s="3">
        <v>32</v>
      </c>
      <c r="J3065" s="3" t="s">
        <v>6106</v>
      </c>
      <c r="K3065" s="17" t="str">
        <f>HYPERLINK("http://ictvonline.org/taxonomyHistory.asp?taxnode_id=20175811","ICTVonline=20175811")</f>
        <v>ICTVonline=20175811</v>
      </c>
      <c r="L3065" s="3">
        <v>3064</v>
      </c>
    </row>
    <row r="3066" spans="1:12" x14ac:dyDescent="0.15">
      <c r="A3066" s="1" t="s">
        <v>908</v>
      </c>
      <c r="B3066" s="1" t="s">
        <v>2110</v>
      </c>
      <c r="D3066" s="1" t="s">
        <v>2111</v>
      </c>
      <c r="E3066" s="1" t="s">
        <v>2428</v>
      </c>
      <c r="F3066" s="3">
        <v>0</v>
      </c>
      <c r="G3066" s="8" t="s">
        <v>3895</v>
      </c>
      <c r="H3066" s="8" t="s">
        <v>5159</v>
      </c>
      <c r="I3066" s="3">
        <v>28</v>
      </c>
      <c r="J3066" s="3" t="s">
        <v>6100</v>
      </c>
      <c r="K3066" s="17" t="str">
        <f>HYPERLINK("http://ictvonline.org/taxonomyHistory.asp?taxnode_id=20173284","ICTVonline=20173284")</f>
        <v>ICTVonline=20173284</v>
      </c>
      <c r="L3066" s="3">
        <v>3065</v>
      </c>
    </row>
    <row r="3067" spans="1:12" x14ac:dyDescent="0.15">
      <c r="A3067" s="1" t="s">
        <v>908</v>
      </c>
      <c r="B3067" s="1" t="s">
        <v>2110</v>
      </c>
      <c r="D3067" s="1" t="s">
        <v>2111</v>
      </c>
      <c r="E3067" s="1" t="s">
        <v>1730</v>
      </c>
      <c r="F3067" s="3">
        <v>0</v>
      </c>
      <c r="G3067" s="8" t="s">
        <v>3895</v>
      </c>
      <c r="H3067" s="8" t="s">
        <v>5159</v>
      </c>
      <c r="I3067" s="3">
        <v>22</v>
      </c>
      <c r="J3067" s="3" t="s">
        <v>6101</v>
      </c>
      <c r="K3067" s="17" t="str">
        <f>HYPERLINK("http://ictvonline.org/taxonomyHistory.asp?taxnode_id=20173285","ICTVonline=20173285")</f>
        <v>ICTVonline=20173285</v>
      </c>
      <c r="L3067" s="3">
        <v>3066</v>
      </c>
    </row>
    <row r="3068" spans="1:12" x14ac:dyDescent="0.15">
      <c r="A3068" s="1" t="s">
        <v>908</v>
      </c>
      <c r="B3068" s="1" t="s">
        <v>2110</v>
      </c>
      <c r="D3068" s="1" t="s">
        <v>2111</v>
      </c>
      <c r="E3068" s="1" t="s">
        <v>1731</v>
      </c>
      <c r="F3068" s="3">
        <v>0</v>
      </c>
      <c r="G3068" s="8" t="s">
        <v>3895</v>
      </c>
      <c r="H3068" s="8" t="s">
        <v>5159</v>
      </c>
      <c r="I3068" s="3">
        <v>24</v>
      </c>
      <c r="J3068" s="3" t="s">
        <v>6102</v>
      </c>
      <c r="K3068" s="17" t="str">
        <f>HYPERLINK("http://ictvonline.org/taxonomyHistory.asp?taxnode_id=20173286","ICTVonline=20173286")</f>
        <v>ICTVonline=20173286</v>
      </c>
      <c r="L3068" s="3">
        <v>3067</v>
      </c>
    </row>
    <row r="3069" spans="1:12" x14ac:dyDescent="0.15">
      <c r="A3069" s="1" t="s">
        <v>908</v>
      </c>
      <c r="B3069" s="1" t="s">
        <v>2110</v>
      </c>
      <c r="D3069" s="1" t="s">
        <v>2111</v>
      </c>
      <c r="E3069" s="1" t="s">
        <v>6135</v>
      </c>
      <c r="F3069" s="3">
        <v>0</v>
      </c>
      <c r="G3069" s="8" t="s">
        <v>3895</v>
      </c>
      <c r="H3069" s="8" t="s">
        <v>5159</v>
      </c>
      <c r="I3069" s="3">
        <v>32</v>
      </c>
      <c r="J3069" s="3" t="s">
        <v>6106</v>
      </c>
      <c r="K3069" s="17" t="str">
        <f>HYPERLINK("http://ictvonline.org/taxonomyHistory.asp?taxnode_id=20175812","ICTVonline=20175812")</f>
        <v>ICTVonline=20175812</v>
      </c>
      <c r="L3069" s="3">
        <v>3068</v>
      </c>
    </row>
    <row r="3070" spans="1:12" x14ac:dyDescent="0.15">
      <c r="A3070" s="1" t="s">
        <v>908</v>
      </c>
      <c r="B3070" s="1" t="s">
        <v>2110</v>
      </c>
      <c r="D3070" s="1" t="s">
        <v>2111</v>
      </c>
      <c r="E3070" s="1" t="s">
        <v>6136</v>
      </c>
      <c r="F3070" s="3">
        <v>0</v>
      </c>
      <c r="G3070" s="8" t="s">
        <v>3895</v>
      </c>
      <c r="H3070" s="8" t="s">
        <v>5159</v>
      </c>
      <c r="I3070" s="3">
        <v>32</v>
      </c>
      <c r="J3070" s="3" t="s">
        <v>6106</v>
      </c>
      <c r="K3070" s="17" t="str">
        <f>HYPERLINK("http://ictvonline.org/taxonomyHistory.asp?taxnode_id=20175813","ICTVonline=20175813")</f>
        <v>ICTVonline=20175813</v>
      </c>
      <c r="L3070" s="3">
        <v>3069</v>
      </c>
    </row>
    <row r="3071" spans="1:12" x14ac:dyDescent="0.15">
      <c r="A3071" s="1" t="s">
        <v>908</v>
      </c>
      <c r="B3071" s="1" t="s">
        <v>2110</v>
      </c>
      <c r="D3071" s="1" t="s">
        <v>2111</v>
      </c>
      <c r="E3071" s="1" t="s">
        <v>1732</v>
      </c>
      <c r="F3071" s="3">
        <v>0</v>
      </c>
      <c r="G3071" s="8" t="s">
        <v>3895</v>
      </c>
      <c r="H3071" s="8" t="s">
        <v>5159</v>
      </c>
      <c r="I3071" s="3">
        <v>22</v>
      </c>
      <c r="J3071" s="3" t="s">
        <v>6101</v>
      </c>
      <c r="K3071" s="17" t="str">
        <f>HYPERLINK("http://ictvonline.org/taxonomyHistory.asp?taxnode_id=20173287","ICTVonline=20173287")</f>
        <v>ICTVonline=20173287</v>
      </c>
      <c r="L3071" s="3">
        <v>3070</v>
      </c>
    </row>
    <row r="3072" spans="1:12" x14ac:dyDescent="0.15">
      <c r="A3072" s="1" t="s">
        <v>908</v>
      </c>
      <c r="B3072" s="1" t="s">
        <v>2110</v>
      </c>
      <c r="D3072" s="1" t="s">
        <v>2111</v>
      </c>
      <c r="E3072" s="1" t="s">
        <v>2429</v>
      </c>
      <c r="F3072" s="3">
        <v>0</v>
      </c>
      <c r="G3072" s="8" t="s">
        <v>3895</v>
      </c>
      <c r="H3072" s="8" t="s">
        <v>5159</v>
      </c>
      <c r="I3072" s="3">
        <v>28</v>
      </c>
      <c r="J3072" s="3" t="s">
        <v>6100</v>
      </c>
      <c r="K3072" s="17" t="str">
        <f>HYPERLINK("http://ictvonline.org/taxonomyHistory.asp?taxnode_id=20173288","ICTVonline=20173288")</f>
        <v>ICTVonline=20173288</v>
      </c>
      <c r="L3072" s="3">
        <v>3071</v>
      </c>
    </row>
    <row r="3073" spans="1:12" x14ac:dyDescent="0.15">
      <c r="A3073" s="1" t="s">
        <v>908</v>
      </c>
      <c r="B3073" s="1" t="s">
        <v>2110</v>
      </c>
      <c r="D3073" s="1" t="s">
        <v>2111</v>
      </c>
      <c r="E3073" s="1" t="s">
        <v>2430</v>
      </c>
      <c r="F3073" s="3">
        <v>0</v>
      </c>
      <c r="G3073" s="8" t="s">
        <v>3895</v>
      </c>
      <c r="H3073" s="8" t="s">
        <v>5159</v>
      </c>
      <c r="I3073" s="3">
        <v>28</v>
      </c>
      <c r="J3073" s="3" t="s">
        <v>6100</v>
      </c>
      <c r="K3073" s="17" t="str">
        <f>HYPERLINK("http://ictvonline.org/taxonomyHistory.asp?taxnode_id=20173289","ICTVonline=20173289")</f>
        <v>ICTVonline=20173289</v>
      </c>
      <c r="L3073" s="3">
        <v>3072</v>
      </c>
    </row>
    <row r="3074" spans="1:12" x14ac:dyDescent="0.15">
      <c r="A3074" s="1" t="s">
        <v>908</v>
      </c>
      <c r="B3074" s="1" t="s">
        <v>2110</v>
      </c>
      <c r="D3074" s="1" t="s">
        <v>2111</v>
      </c>
      <c r="E3074" s="1" t="s">
        <v>96</v>
      </c>
      <c r="F3074" s="3">
        <v>0</v>
      </c>
      <c r="G3074" s="8" t="s">
        <v>3895</v>
      </c>
      <c r="H3074" s="8" t="s">
        <v>5162</v>
      </c>
      <c r="I3074" s="3">
        <v>26</v>
      </c>
      <c r="J3074" s="3" t="s">
        <v>6116</v>
      </c>
      <c r="K3074" s="17" t="str">
        <f>HYPERLINK("http://ictvonline.org/taxonomyHistory.asp?taxnode_id=20173290","ICTVonline=20173290")</f>
        <v>ICTVonline=20173290</v>
      </c>
      <c r="L3074" s="3">
        <v>3073</v>
      </c>
    </row>
    <row r="3075" spans="1:12" x14ac:dyDescent="0.15">
      <c r="A3075" s="1" t="s">
        <v>908</v>
      </c>
      <c r="B3075" s="1" t="s">
        <v>2110</v>
      </c>
      <c r="D3075" s="1" t="s">
        <v>2111</v>
      </c>
      <c r="E3075" s="1" t="s">
        <v>3934</v>
      </c>
      <c r="F3075" s="3">
        <v>0</v>
      </c>
      <c r="G3075" s="8" t="s">
        <v>3895</v>
      </c>
      <c r="H3075" s="8" t="s">
        <v>5159</v>
      </c>
      <c r="I3075" s="3">
        <v>30</v>
      </c>
      <c r="J3075" s="3" t="s">
        <v>6099</v>
      </c>
      <c r="K3075" s="17" t="str">
        <f>HYPERLINK("http://ictvonline.org/taxonomyHistory.asp?taxnode_id=20173291","ICTVonline=20173291")</f>
        <v>ICTVonline=20173291</v>
      </c>
      <c r="L3075" s="3">
        <v>3074</v>
      </c>
    </row>
    <row r="3076" spans="1:12" x14ac:dyDescent="0.15">
      <c r="A3076" s="1" t="s">
        <v>908</v>
      </c>
      <c r="B3076" s="1" t="s">
        <v>2110</v>
      </c>
      <c r="D3076" s="1" t="s">
        <v>2111</v>
      </c>
      <c r="E3076" s="1" t="s">
        <v>1733</v>
      </c>
      <c r="F3076" s="3">
        <v>0</v>
      </c>
      <c r="G3076" s="8" t="s">
        <v>3895</v>
      </c>
      <c r="H3076" s="8" t="s">
        <v>5159</v>
      </c>
      <c r="I3076" s="3">
        <v>24</v>
      </c>
      <c r="J3076" s="3" t="s">
        <v>6103</v>
      </c>
      <c r="K3076" s="17" t="str">
        <f>HYPERLINK("http://ictvonline.org/taxonomyHistory.asp?taxnode_id=20173292","ICTVonline=20173292")</f>
        <v>ICTVonline=20173292</v>
      </c>
      <c r="L3076" s="3">
        <v>3075</v>
      </c>
    </row>
    <row r="3077" spans="1:12" x14ac:dyDescent="0.15">
      <c r="A3077" s="1" t="s">
        <v>908</v>
      </c>
      <c r="B3077" s="1" t="s">
        <v>2110</v>
      </c>
      <c r="D3077" s="1" t="s">
        <v>2111</v>
      </c>
      <c r="E3077" s="1" t="s">
        <v>336</v>
      </c>
      <c r="F3077" s="3">
        <v>0</v>
      </c>
      <c r="G3077" s="8" t="s">
        <v>3895</v>
      </c>
      <c r="H3077" s="8" t="s">
        <v>5159</v>
      </c>
      <c r="I3077" s="3">
        <v>24</v>
      </c>
      <c r="J3077" s="3" t="s">
        <v>6103</v>
      </c>
      <c r="K3077" s="17" t="str">
        <f>HYPERLINK("http://ictvonline.org/taxonomyHistory.asp?taxnode_id=20173293","ICTVonline=20173293")</f>
        <v>ICTVonline=20173293</v>
      </c>
      <c r="L3077" s="3">
        <v>3076</v>
      </c>
    </row>
    <row r="3078" spans="1:12" x14ac:dyDescent="0.15">
      <c r="A3078" s="1" t="s">
        <v>908</v>
      </c>
      <c r="B3078" s="1" t="s">
        <v>2110</v>
      </c>
      <c r="D3078" s="1" t="s">
        <v>2111</v>
      </c>
      <c r="E3078" s="1" t="s">
        <v>6137</v>
      </c>
      <c r="F3078" s="3">
        <v>0</v>
      </c>
      <c r="G3078" s="8" t="s">
        <v>3895</v>
      </c>
      <c r="H3078" s="8" t="s">
        <v>5159</v>
      </c>
      <c r="I3078" s="3">
        <v>32</v>
      </c>
      <c r="J3078" s="3" t="s">
        <v>6106</v>
      </c>
      <c r="K3078" s="17" t="str">
        <f>HYPERLINK("http://ictvonline.org/taxonomyHistory.asp?taxnode_id=20175814","ICTVonline=20175814")</f>
        <v>ICTVonline=20175814</v>
      </c>
      <c r="L3078" s="3">
        <v>3077</v>
      </c>
    </row>
    <row r="3079" spans="1:12" x14ac:dyDescent="0.15">
      <c r="A3079" s="1" t="s">
        <v>908</v>
      </c>
      <c r="B3079" s="1" t="s">
        <v>2110</v>
      </c>
      <c r="D3079" s="1" t="s">
        <v>2111</v>
      </c>
      <c r="E3079" s="1" t="s">
        <v>337</v>
      </c>
      <c r="F3079" s="3">
        <v>0</v>
      </c>
      <c r="G3079" s="8" t="s">
        <v>3895</v>
      </c>
      <c r="H3079" s="8" t="s">
        <v>5159</v>
      </c>
      <c r="I3079" s="3">
        <v>22</v>
      </c>
      <c r="J3079" s="3" t="s">
        <v>6101</v>
      </c>
      <c r="K3079" s="17" t="str">
        <f>HYPERLINK("http://ictvonline.org/taxonomyHistory.asp?taxnode_id=20173294","ICTVonline=20173294")</f>
        <v>ICTVonline=20173294</v>
      </c>
      <c r="L3079" s="3">
        <v>3078</v>
      </c>
    </row>
    <row r="3080" spans="1:12" x14ac:dyDescent="0.15">
      <c r="A3080" s="1" t="s">
        <v>908</v>
      </c>
      <c r="B3080" s="1" t="s">
        <v>2110</v>
      </c>
      <c r="D3080" s="1" t="s">
        <v>2111</v>
      </c>
      <c r="E3080" s="1" t="s">
        <v>338</v>
      </c>
      <c r="F3080" s="3">
        <v>0</v>
      </c>
      <c r="G3080" s="8" t="s">
        <v>3895</v>
      </c>
      <c r="H3080" s="8" t="s">
        <v>5161</v>
      </c>
      <c r="I3080" s="3">
        <v>16</v>
      </c>
      <c r="J3080" s="3" t="s">
        <v>6032</v>
      </c>
      <c r="K3080" s="17" t="str">
        <f>HYPERLINK("http://ictvonline.org/taxonomyHistory.asp?taxnode_id=20173295","ICTVonline=20173295")</f>
        <v>ICTVonline=20173295</v>
      </c>
      <c r="L3080" s="3">
        <v>3079</v>
      </c>
    </row>
    <row r="3081" spans="1:12" x14ac:dyDescent="0.15">
      <c r="A3081" s="1" t="s">
        <v>908</v>
      </c>
      <c r="B3081" s="1" t="s">
        <v>2110</v>
      </c>
      <c r="D3081" s="1" t="s">
        <v>2111</v>
      </c>
      <c r="E3081" s="1" t="s">
        <v>2431</v>
      </c>
      <c r="F3081" s="3">
        <v>0</v>
      </c>
      <c r="G3081" s="8" t="s">
        <v>3895</v>
      </c>
      <c r="H3081" s="8" t="s">
        <v>5159</v>
      </c>
      <c r="I3081" s="3">
        <v>28</v>
      </c>
      <c r="J3081" s="3" t="s">
        <v>6100</v>
      </c>
      <c r="K3081" s="17" t="str">
        <f>HYPERLINK("http://ictvonline.org/taxonomyHistory.asp?taxnode_id=20173296","ICTVonline=20173296")</f>
        <v>ICTVonline=20173296</v>
      </c>
      <c r="L3081" s="3">
        <v>3080</v>
      </c>
    </row>
    <row r="3082" spans="1:12" x14ac:dyDescent="0.15">
      <c r="A3082" s="1" t="s">
        <v>908</v>
      </c>
      <c r="B3082" s="1" t="s">
        <v>2110</v>
      </c>
      <c r="D3082" s="1" t="s">
        <v>2111</v>
      </c>
      <c r="E3082" s="1" t="s">
        <v>6138</v>
      </c>
      <c r="F3082" s="3">
        <v>0</v>
      </c>
      <c r="G3082" s="8" t="s">
        <v>3895</v>
      </c>
      <c r="H3082" s="8" t="s">
        <v>5159</v>
      </c>
      <c r="I3082" s="3">
        <v>32</v>
      </c>
      <c r="J3082" s="3" t="s">
        <v>6106</v>
      </c>
      <c r="K3082" s="17" t="str">
        <f>HYPERLINK("http://ictvonline.org/taxonomyHistory.asp?taxnode_id=20175815","ICTVonline=20175815")</f>
        <v>ICTVonline=20175815</v>
      </c>
      <c r="L3082" s="3">
        <v>3081</v>
      </c>
    </row>
    <row r="3083" spans="1:12" x14ac:dyDescent="0.15">
      <c r="A3083" s="1" t="s">
        <v>908</v>
      </c>
      <c r="B3083" s="1" t="s">
        <v>2110</v>
      </c>
      <c r="D3083" s="1" t="s">
        <v>2111</v>
      </c>
      <c r="E3083" s="1" t="s">
        <v>2432</v>
      </c>
      <c r="F3083" s="3">
        <v>0</v>
      </c>
      <c r="G3083" s="8" t="s">
        <v>3895</v>
      </c>
      <c r="H3083" s="8" t="s">
        <v>5159</v>
      </c>
      <c r="I3083" s="3">
        <v>28</v>
      </c>
      <c r="J3083" s="3" t="s">
        <v>6100</v>
      </c>
      <c r="K3083" s="17" t="str">
        <f>HYPERLINK("http://ictvonline.org/taxonomyHistory.asp?taxnode_id=20173297","ICTVonline=20173297")</f>
        <v>ICTVonline=20173297</v>
      </c>
      <c r="L3083" s="3">
        <v>3082</v>
      </c>
    </row>
    <row r="3084" spans="1:12" x14ac:dyDescent="0.15">
      <c r="A3084" s="1" t="s">
        <v>908</v>
      </c>
      <c r="B3084" s="1" t="s">
        <v>2110</v>
      </c>
      <c r="D3084" s="1" t="s">
        <v>2111</v>
      </c>
      <c r="E3084" s="1" t="s">
        <v>339</v>
      </c>
      <c r="F3084" s="3">
        <v>0</v>
      </c>
      <c r="G3084" s="8" t="s">
        <v>3895</v>
      </c>
      <c r="H3084" s="8" t="s">
        <v>5159</v>
      </c>
      <c r="I3084" s="3">
        <v>24</v>
      </c>
      <c r="J3084" s="3" t="s">
        <v>6103</v>
      </c>
      <c r="K3084" s="17" t="str">
        <f>HYPERLINK("http://ictvonline.org/taxonomyHistory.asp?taxnode_id=20173298","ICTVonline=20173298")</f>
        <v>ICTVonline=20173298</v>
      </c>
      <c r="L3084" s="3">
        <v>3083</v>
      </c>
    </row>
    <row r="3085" spans="1:12" x14ac:dyDescent="0.15">
      <c r="A3085" s="1" t="s">
        <v>908</v>
      </c>
      <c r="B3085" s="1" t="s">
        <v>2110</v>
      </c>
      <c r="D3085" s="1" t="s">
        <v>2111</v>
      </c>
      <c r="E3085" s="1" t="s">
        <v>340</v>
      </c>
      <c r="F3085" s="3">
        <v>0</v>
      </c>
      <c r="G3085" s="8" t="s">
        <v>3895</v>
      </c>
      <c r="H3085" s="8" t="s">
        <v>5159</v>
      </c>
      <c r="I3085" s="3">
        <v>24</v>
      </c>
      <c r="J3085" s="3" t="s">
        <v>6102</v>
      </c>
      <c r="K3085" s="17" t="str">
        <f>HYPERLINK("http://ictvonline.org/taxonomyHistory.asp?taxnode_id=20173299","ICTVonline=20173299")</f>
        <v>ICTVonline=20173299</v>
      </c>
      <c r="L3085" s="3">
        <v>3084</v>
      </c>
    </row>
    <row r="3086" spans="1:12" x14ac:dyDescent="0.15">
      <c r="A3086" s="1" t="s">
        <v>908</v>
      </c>
      <c r="B3086" s="1" t="s">
        <v>2110</v>
      </c>
      <c r="D3086" s="1" t="s">
        <v>2111</v>
      </c>
      <c r="E3086" s="1" t="s">
        <v>6139</v>
      </c>
      <c r="F3086" s="3">
        <v>0</v>
      </c>
      <c r="G3086" s="8" t="s">
        <v>3895</v>
      </c>
      <c r="H3086" s="8" t="s">
        <v>5159</v>
      </c>
      <c r="I3086" s="3">
        <v>32</v>
      </c>
      <c r="J3086" s="3" t="s">
        <v>6106</v>
      </c>
      <c r="K3086" s="17" t="str">
        <f>HYPERLINK("http://ictvonline.org/taxonomyHistory.asp?taxnode_id=20175816","ICTVonline=20175816")</f>
        <v>ICTVonline=20175816</v>
      </c>
      <c r="L3086" s="3">
        <v>3085</v>
      </c>
    </row>
    <row r="3087" spans="1:12" x14ac:dyDescent="0.15">
      <c r="A3087" s="1" t="s">
        <v>908</v>
      </c>
      <c r="B3087" s="1" t="s">
        <v>2110</v>
      </c>
      <c r="D3087" s="1" t="s">
        <v>2111</v>
      </c>
      <c r="E3087" s="1" t="s">
        <v>2433</v>
      </c>
      <c r="F3087" s="3">
        <v>0</v>
      </c>
      <c r="G3087" s="8" t="s">
        <v>3895</v>
      </c>
      <c r="H3087" s="8" t="s">
        <v>5159</v>
      </c>
      <c r="I3087" s="3">
        <v>28</v>
      </c>
      <c r="J3087" s="3" t="s">
        <v>6100</v>
      </c>
      <c r="K3087" s="17" t="str">
        <f>HYPERLINK("http://ictvonline.org/taxonomyHistory.asp?taxnode_id=20173300","ICTVonline=20173300")</f>
        <v>ICTVonline=20173300</v>
      </c>
      <c r="L3087" s="3">
        <v>3086</v>
      </c>
    </row>
    <row r="3088" spans="1:12" x14ac:dyDescent="0.15">
      <c r="A3088" s="1" t="s">
        <v>908</v>
      </c>
      <c r="B3088" s="1" t="s">
        <v>2110</v>
      </c>
      <c r="D3088" s="1" t="s">
        <v>2111</v>
      </c>
      <c r="E3088" s="1" t="s">
        <v>341</v>
      </c>
      <c r="F3088" s="3">
        <v>0</v>
      </c>
      <c r="G3088" s="8" t="s">
        <v>3895</v>
      </c>
      <c r="H3088" s="8" t="s">
        <v>5159</v>
      </c>
      <c r="I3088" s="3">
        <v>22</v>
      </c>
      <c r="J3088" s="3" t="s">
        <v>6140</v>
      </c>
      <c r="K3088" s="17" t="str">
        <f>HYPERLINK("http://ictvonline.org/taxonomyHistory.asp?taxnode_id=20173301","ICTVonline=20173301")</f>
        <v>ICTVonline=20173301</v>
      </c>
      <c r="L3088" s="3">
        <v>3087</v>
      </c>
    </row>
    <row r="3089" spans="1:12" x14ac:dyDescent="0.15">
      <c r="A3089" s="1" t="s">
        <v>908</v>
      </c>
      <c r="B3089" s="1" t="s">
        <v>2110</v>
      </c>
      <c r="D3089" s="1" t="s">
        <v>2111</v>
      </c>
      <c r="E3089" s="1" t="s">
        <v>342</v>
      </c>
      <c r="F3089" s="3">
        <v>0</v>
      </c>
      <c r="G3089" s="8" t="s">
        <v>3895</v>
      </c>
      <c r="H3089" s="8" t="s">
        <v>5162</v>
      </c>
      <c r="I3089" s="3">
        <v>23</v>
      </c>
      <c r="J3089" s="3" t="s">
        <v>6020</v>
      </c>
      <c r="K3089" s="17" t="str">
        <f>HYPERLINK("http://ictvonline.org/taxonomyHistory.asp?taxnode_id=20173302","ICTVonline=20173302")</f>
        <v>ICTVonline=20173302</v>
      </c>
      <c r="L3089" s="3">
        <v>3088</v>
      </c>
    </row>
    <row r="3090" spans="1:12" x14ac:dyDescent="0.15">
      <c r="A3090" s="1" t="s">
        <v>908</v>
      </c>
      <c r="B3090" s="1" t="s">
        <v>2110</v>
      </c>
      <c r="D3090" s="1" t="s">
        <v>2111</v>
      </c>
      <c r="E3090" s="1" t="s">
        <v>343</v>
      </c>
      <c r="F3090" s="3">
        <v>0</v>
      </c>
      <c r="G3090" s="8" t="s">
        <v>3895</v>
      </c>
      <c r="H3090" s="8" t="s">
        <v>5159</v>
      </c>
      <c r="I3090" s="3">
        <v>17</v>
      </c>
      <c r="J3090" s="3" t="s">
        <v>5970</v>
      </c>
      <c r="K3090" s="17" t="str">
        <f>HYPERLINK("http://ictvonline.org/taxonomyHistory.asp?taxnode_id=20173303","ICTVonline=20173303")</f>
        <v>ICTVonline=20173303</v>
      </c>
      <c r="L3090" s="3">
        <v>3089</v>
      </c>
    </row>
    <row r="3091" spans="1:12" x14ac:dyDescent="0.15">
      <c r="A3091" s="1" t="s">
        <v>908</v>
      </c>
      <c r="B3091" s="1" t="s">
        <v>2110</v>
      </c>
      <c r="D3091" s="1" t="s">
        <v>2111</v>
      </c>
      <c r="E3091" s="1" t="s">
        <v>6141</v>
      </c>
      <c r="F3091" s="3">
        <v>0</v>
      </c>
      <c r="G3091" s="8" t="s">
        <v>3895</v>
      </c>
      <c r="H3091" s="8" t="s">
        <v>5159</v>
      </c>
      <c r="I3091" s="3">
        <v>32</v>
      </c>
      <c r="J3091" s="3" t="s">
        <v>6106</v>
      </c>
      <c r="K3091" s="17" t="str">
        <f>HYPERLINK("http://ictvonline.org/taxonomyHistory.asp?taxnode_id=20175817","ICTVonline=20175817")</f>
        <v>ICTVonline=20175817</v>
      </c>
      <c r="L3091" s="3">
        <v>3090</v>
      </c>
    </row>
    <row r="3092" spans="1:12" x14ac:dyDescent="0.15">
      <c r="A3092" s="1" t="s">
        <v>908</v>
      </c>
      <c r="B3092" s="1" t="s">
        <v>2110</v>
      </c>
      <c r="D3092" s="1" t="s">
        <v>2111</v>
      </c>
      <c r="E3092" s="1" t="s">
        <v>2434</v>
      </c>
      <c r="F3092" s="3">
        <v>0</v>
      </c>
      <c r="G3092" s="8" t="s">
        <v>3895</v>
      </c>
      <c r="H3092" s="8" t="s">
        <v>5159</v>
      </c>
      <c r="I3092" s="3">
        <v>28</v>
      </c>
      <c r="J3092" s="3" t="s">
        <v>6100</v>
      </c>
      <c r="K3092" s="17" t="str">
        <f>HYPERLINK("http://ictvonline.org/taxonomyHistory.asp?taxnode_id=20173304","ICTVonline=20173304")</f>
        <v>ICTVonline=20173304</v>
      </c>
      <c r="L3092" s="3">
        <v>3091</v>
      </c>
    </row>
    <row r="3093" spans="1:12" x14ac:dyDescent="0.15">
      <c r="A3093" s="1" t="s">
        <v>908</v>
      </c>
      <c r="B3093" s="1" t="s">
        <v>2110</v>
      </c>
      <c r="D3093" s="1" t="s">
        <v>2111</v>
      </c>
      <c r="E3093" s="1" t="s">
        <v>6142</v>
      </c>
      <c r="F3093" s="3">
        <v>0</v>
      </c>
      <c r="G3093" s="8" t="s">
        <v>3895</v>
      </c>
      <c r="H3093" s="8" t="s">
        <v>5159</v>
      </c>
      <c r="I3093" s="3">
        <v>32</v>
      </c>
      <c r="J3093" s="3" t="s">
        <v>6106</v>
      </c>
      <c r="K3093" s="17" t="str">
        <f>HYPERLINK("http://ictvonline.org/taxonomyHistory.asp?taxnode_id=20175818","ICTVonline=20175818")</f>
        <v>ICTVonline=20175818</v>
      </c>
      <c r="L3093" s="3">
        <v>3092</v>
      </c>
    </row>
    <row r="3094" spans="1:12" x14ac:dyDescent="0.15">
      <c r="A3094" s="1" t="s">
        <v>908</v>
      </c>
      <c r="B3094" s="1" t="s">
        <v>2110</v>
      </c>
      <c r="D3094" s="1" t="s">
        <v>2111</v>
      </c>
      <c r="E3094" s="1" t="s">
        <v>6143</v>
      </c>
      <c r="F3094" s="3">
        <v>0</v>
      </c>
      <c r="G3094" s="8" t="s">
        <v>3895</v>
      </c>
      <c r="H3094" s="8" t="s">
        <v>5159</v>
      </c>
      <c r="I3094" s="3">
        <v>32</v>
      </c>
      <c r="J3094" s="3" t="s">
        <v>6106</v>
      </c>
      <c r="K3094" s="17" t="str">
        <f>HYPERLINK("http://ictvonline.org/taxonomyHistory.asp?taxnode_id=20175819","ICTVonline=20175819")</f>
        <v>ICTVonline=20175819</v>
      </c>
      <c r="L3094" s="3">
        <v>3093</v>
      </c>
    </row>
    <row r="3095" spans="1:12" x14ac:dyDescent="0.15">
      <c r="A3095" s="1" t="s">
        <v>908</v>
      </c>
      <c r="B3095" s="1" t="s">
        <v>2110</v>
      </c>
      <c r="D3095" s="1" t="s">
        <v>2111</v>
      </c>
      <c r="E3095" s="1" t="s">
        <v>6144</v>
      </c>
      <c r="F3095" s="3">
        <v>0</v>
      </c>
      <c r="G3095" s="8" t="s">
        <v>3895</v>
      </c>
      <c r="H3095" s="8" t="s">
        <v>5159</v>
      </c>
      <c r="I3095" s="3">
        <v>32</v>
      </c>
      <c r="J3095" s="3" t="s">
        <v>6106</v>
      </c>
      <c r="K3095" s="17" t="str">
        <f>HYPERLINK("http://ictvonline.org/taxonomyHistory.asp?taxnode_id=20175820","ICTVonline=20175820")</f>
        <v>ICTVonline=20175820</v>
      </c>
      <c r="L3095" s="3">
        <v>3094</v>
      </c>
    </row>
    <row r="3096" spans="1:12" x14ac:dyDescent="0.15">
      <c r="A3096" s="1" t="s">
        <v>908</v>
      </c>
      <c r="B3096" s="1" t="s">
        <v>2110</v>
      </c>
      <c r="D3096" s="1" t="s">
        <v>2111</v>
      </c>
      <c r="E3096" s="1" t="s">
        <v>6145</v>
      </c>
      <c r="F3096" s="3">
        <v>0</v>
      </c>
      <c r="G3096" s="8" t="s">
        <v>3895</v>
      </c>
      <c r="H3096" s="8" t="s">
        <v>5162</v>
      </c>
      <c r="I3096" s="3">
        <v>32</v>
      </c>
      <c r="J3096" s="3" t="s">
        <v>6146</v>
      </c>
      <c r="K3096" s="17" t="str">
        <f>HYPERLINK("http://ictvonline.org/taxonomyHistory.asp?taxnode_id=20173305","ICTVonline=20173305")</f>
        <v>ICTVonline=20173305</v>
      </c>
      <c r="L3096" s="3">
        <v>3095</v>
      </c>
    </row>
    <row r="3097" spans="1:12" x14ac:dyDescent="0.15">
      <c r="A3097" s="1" t="s">
        <v>908</v>
      </c>
      <c r="B3097" s="1" t="s">
        <v>2110</v>
      </c>
      <c r="D3097" s="1" t="s">
        <v>2111</v>
      </c>
      <c r="E3097" s="1" t="s">
        <v>344</v>
      </c>
      <c r="F3097" s="3">
        <v>0</v>
      </c>
      <c r="G3097" s="8" t="s">
        <v>3895</v>
      </c>
      <c r="H3097" s="8" t="s">
        <v>5162</v>
      </c>
      <c r="I3097" s="3">
        <v>23</v>
      </c>
      <c r="J3097" s="3" t="s">
        <v>6020</v>
      </c>
      <c r="K3097" s="17" t="str">
        <f>HYPERLINK("http://ictvonline.org/taxonomyHistory.asp?taxnode_id=20173306","ICTVonline=20173306")</f>
        <v>ICTVonline=20173306</v>
      </c>
      <c r="L3097" s="3">
        <v>3096</v>
      </c>
    </row>
    <row r="3098" spans="1:12" x14ac:dyDescent="0.15">
      <c r="A3098" s="1" t="s">
        <v>908</v>
      </c>
      <c r="B3098" s="1" t="s">
        <v>2110</v>
      </c>
      <c r="D3098" s="1" t="s">
        <v>2111</v>
      </c>
      <c r="E3098" s="1" t="s">
        <v>345</v>
      </c>
      <c r="F3098" s="3">
        <v>0</v>
      </c>
      <c r="G3098" s="8" t="s">
        <v>3895</v>
      </c>
      <c r="H3098" s="8" t="s">
        <v>5162</v>
      </c>
      <c r="I3098" s="3">
        <v>23</v>
      </c>
      <c r="J3098" s="3" t="s">
        <v>6020</v>
      </c>
      <c r="K3098" s="17" t="str">
        <f>HYPERLINK("http://ictvonline.org/taxonomyHistory.asp?taxnode_id=20173307","ICTVonline=20173307")</f>
        <v>ICTVonline=20173307</v>
      </c>
      <c r="L3098" s="3">
        <v>3097</v>
      </c>
    </row>
    <row r="3099" spans="1:12" x14ac:dyDescent="0.15">
      <c r="A3099" s="1" t="s">
        <v>908</v>
      </c>
      <c r="B3099" s="1" t="s">
        <v>2110</v>
      </c>
      <c r="D3099" s="1" t="s">
        <v>2111</v>
      </c>
      <c r="E3099" s="1" t="s">
        <v>1463</v>
      </c>
      <c r="F3099" s="3">
        <v>0</v>
      </c>
      <c r="G3099" s="8" t="s">
        <v>3895</v>
      </c>
      <c r="H3099" s="8" t="s">
        <v>5159</v>
      </c>
      <c r="I3099" s="3">
        <v>22</v>
      </c>
      <c r="J3099" s="3" t="s">
        <v>6101</v>
      </c>
      <c r="K3099" s="17" t="str">
        <f>HYPERLINK("http://ictvonline.org/taxonomyHistory.asp?taxnode_id=20173308","ICTVonline=20173308")</f>
        <v>ICTVonline=20173308</v>
      </c>
      <c r="L3099" s="3">
        <v>3098</v>
      </c>
    </row>
    <row r="3100" spans="1:12" x14ac:dyDescent="0.15">
      <c r="A3100" s="1" t="s">
        <v>908</v>
      </c>
      <c r="B3100" s="1" t="s">
        <v>2110</v>
      </c>
      <c r="D3100" s="1" t="s">
        <v>2111</v>
      </c>
      <c r="E3100" s="1" t="s">
        <v>454</v>
      </c>
      <c r="F3100" s="3">
        <v>0</v>
      </c>
      <c r="G3100" s="8" t="s">
        <v>3895</v>
      </c>
      <c r="H3100" s="8" t="s">
        <v>5159</v>
      </c>
      <c r="I3100" s="3">
        <v>24</v>
      </c>
      <c r="J3100" s="3" t="s">
        <v>6103</v>
      </c>
      <c r="K3100" s="17" t="str">
        <f>HYPERLINK("http://ictvonline.org/taxonomyHistory.asp?taxnode_id=20173309","ICTVonline=20173309")</f>
        <v>ICTVonline=20173309</v>
      </c>
      <c r="L3100" s="3">
        <v>3099</v>
      </c>
    </row>
    <row r="3101" spans="1:12" x14ac:dyDescent="0.15">
      <c r="A3101" s="1" t="s">
        <v>908</v>
      </c>
      <c r="B3101" s="1" t="s">
        <v>2110</v>
      </c>
      <c r="D3101" s="1" t="s">
        <v>2111</v>
      </c>
      <c r="E3101" s="1" t="s">
        <v>455</v>
      </c>
      <c r="F3101" s="3">
        <v>0</v>
      </c>
      <c r="G3101" s="8" t="s">
        <v>3895</v>
      </c>
      <c r="H3101" s="8" t="s">
        <v>5159</v>
      </c>
      <c r="I3101" s="3">
        <v>17</v>
      </c>
      <c r="J3101" s="3" t="s">
        <v>5970</v>
      </c>
      <c r="K3101" s="17" t="str">
        <f>HYPERLINK("http://ictvonline.org/taxonomyHistory.asp?taxnode_id=20173310","ICTVonline=20173310")</f>
        <v>ICTVonline=20173310</v>
      </c>
      <c r="L3101" s="3">
        <v>3100</v>
      </c>
    </row>
    <row r="3102" spans="1:12" x14ac:dyDescent="0.15">
      <c r="A3102" s="1" t="s">
        <v>908</v>
      </c>
      <c r="B3102" s="1" t="s">
        <v>2110</v>
      </c>
      <c r="D3102" s="1" t="s">
        <v>2111</v>
      </c>
      <c r="E3102" s="1" t="s">
        <v>2435</v>
      </c>
      <c r="F3102" s="3">
        <v>0</v>
      </c>
      <c r="G3102" s="8" t="s">
        <v>3895</v>
      </c>
      <c r="H3102" s="8" t="s">
        <v>5159</v>
      </c>
      <c r="I3102" s="3">
        <v>28</v>
      </c>
      <c r="J3102" s="3" t="s">
        <v>6100</v>
      </c>
      <c r="K3102" s="17" t="str">
        <f>HYPERLINK("http://ictvonline.org/taxonomyHistory.asp?taxnode_id=20173311","ICTVonline=20173311")</f>
        <v>ICTVonline=20173311</v>
      </c>
      <c r="L3102" s="3">
        <v>3101</v>
      </c>
    </row>
    <row r="3103" spans="1:12" x14ac:dyDescent="0.15">
      <c r="A3103" s="1" t="s">
        <v>908</v>
      </c>
      <c r="B3103" s="1" t="s">
        <v>2110</v>
      </c>
      <c r="D3103" s="1" t="s">
        <v>2111</v>
      </c>
      <c r="E3103" s="1" t="s">
        <v>1488</v>
      </c>
      <c r="F3103" s="3">
        <v>0</v>
      </c>
      <c r="G3103" s="8" t="s">
        <v>3895</v>
      </c>
      <c r="H3103" s="8" t="s">
        <v>5159</v>
      </c>
      <c r="I3103" s="3">
        <v>24</v>
      </c>
      <c r="J3103" s="3" t="s">
        <v>6103</v>
      </c>
      <c r="K3103" s="17" t="str">
        <f>HYPERLINK("http://ictvonline.org/taxonomyHistory.asp?taxnode_id=20173312","ICTVonline=20173312")</f>
        <v>ICTVonline=20173312</v>
      </c>
      <c r="L3103" s="3">
        <v>3102</v>
      </c>
    </row>
    <row r="3104" spans="1:12" x14ac:dyDescent="0.15">
      <c r="A3104" s="1" t="s">
        <v>908</v>
      </c>
      <c r="B3104" s="1" t="s">
        <v>2110</v>
      </c>
      <c r="D3104" s="1" t="s">
        <v>2111</v>
      </c>
      <c r="E3104" s="1" t="s">
        <v>6147</v>
      </c>
      <c r="F3104" s="3">
        <v>0</v>
      </c>
      <c r="G3104" s="8" t="s">
        <v>3895</v>
      </c>
      <c r="H3104" s="8" t="s">
        <v>5159</v>
      </c>
      <c r="I3104" s="3">
        <v>32</v>
      </c>
      <c r="J3104" s="3" t="s">
        <v>6106</v>
      </c>
      <c r="K3104" s="17" t="str">
        <f>HYPERLINK("http://ictvonline.org/taxonomyHistory.asp?taxnode_id=20175821","ICTVonline=20175821")</f>
        <v>ICTVonline=20175821</v>
      </c>
      <c r="L3104" s="3">
        <v>3103</v>
      </c>
    </row>
    <row r="3105" spans="1:12" x14ac:dyDescent="0.15">
      <c r="A3105" s="1" t="s">
        <v>908</v>
      </c>
      <c r="B3105" s="1" t="s">
        <v>2110</v>
      </c>
      <c r="D3105" s="1" t="s">
        <v>2111</v>
      </c>
      <c r="E3105" s="1" t="s">
        <v>3935</v>
      </c>
      <c r="F3105" s="3">
        <v>0</v>
      </c>
      <c r="G3105" s="8" t="s">
        <v>3895</v>
      </c>
      <c r="H3105" s="8" t="s">
        <v>5159</v>
      </c>
      <c r="I3105" s="3">
        <v>30</v>
      </c>
      <c r="J3105" s="3" t="s">
        <v>6099</v>
      </c>
      <c r="K3105" s="17" t="str">
        <f>HYPERLINK("http://ictvonline.org/taxonomyHistory.asp?taxnode_id=20173313","ICTVonline=20173313")</f>
        <v>ICTVonline=20173313</v>
      </c>
      <c r="L3105" s="3">
        <v>3104</v>
      </c>
    </row>
    <row r="3106" spans="1:12" x14ac:dyDescent="0.15">
      <c r="A3106" s="1" t="s">
        <v>908</v>
      </c>
      <c r="B3106" s="1" t="s">
        <v>2110</v>
      </c>
      <c r="D3106" s="1" t="s">
        <v>2111</v>
      </c>
      <c r="E3106" s="1" t="s">
        <v>1489</v>
      </c>
      <c r="F3106" s="3">
        <v>0</v>
      </c>
      <c r="G3106" s="8" t="s">
        <v>3895</v>
      </c>
      <c r="H3106" s="8" t="s">
        <v>5159</v>
      </c>
      <c r="I3106" s="3">
        <v>24</v>
      </c>
      <c r="J3106" s="3" t="s">
        <v>6102</v>
      </c>
      <c r="K3106" s="17" t="str">
        <f>HYPERLINK("http://ictvonline.org/taxonomyHistory.asp?taxnode_id=20173314","ICTVonline=20173314")</f>
        <v>ICTVonline=20173314</v>
      </c>
      <c r="L3106" s="3">
        <v>3105</v>
      </c>
    </row>
    <row r="3107" spans="1:12" x14ac:dyDescent="0.15">
      <c r="A3107" s="1" t="s">
        <v>908</v>
      </c>
      <c r="B3107" s="1" t="s">
        <v>2110</v>
      </c>
      <c r="D3107" s="1" t="s">
        <v>2111</v>
      </c>
      <c r="E3107" s="1" t="s">
        <v>1490</v>
      </c>
      <c r="F3107" s="3">
        <v>0</v>
      </c>
      <c r="G3107" s="8" t="s">
        <v>3895</v>
      </c>
      <c r="H3107" s="8" t="s">
        <v>5159</v>
      </c>
      <c r="I3107" s="3">
        <v>22</v>
      </c>
      <c r="J3107" s="3" t="s">
        <v>6101</v>
      </c>
      <c r="K3107" s="17" t="str">
        <f>HYPERLINK("http://ictvonline.org/taxonomyHistory.asp?taxnode_id=20173315","ICTVonline=20173315")</f>
        <v>ICTVonline=20173315</v>
      </c>
      <c r="L3107" s="3">
        <v>3106</v>
      </c>
    </row>
    <row r="3108" spans="1:12" x14ac:dyDescent="0.15">
      <c r="A3108" s="1" t="s">
        <v>908</v>
      </c>
      <c r="B3108" s="1" t="s">
        <v>2110</v>
      </c>
      <c r="D3108" s="1" t="s">
        <v>2111</v>
      </c>
      <c r="E3108" s="1" t="s">
        <v>1491</v>
      </c>
      <c r="F3108" s="3">
        <v>0</v>
      </c>
      <c r="G3108" s="8" t="s">
        <v>3895</v>
      </c>
      <c r="H3108" s="8" t="s">
        <v>5171</v>
      </c>
      <c r="I3108" s="3">
        <v>24</v>
      </c>
      <c r="J3108" s="3" t="s">
        <v>6104</v>
      </c>
      <c r="K3108" s="17" t="str">
        <f>HYPERLINK("http://ictvonline.org/taxonomyHistory.asp?taxnode_id=20173316","ICTVonline=20173316")</f>
        <v>ICTVonline=20173316</v>
      </c>
      <c r="L3108" s="3">
        <v>3107</v>
      </c>
    </row>
    <row r="3109" spans="1:12" x14ac:dyDescent="0.15">
      <c r="A3109" s="1" t="s">
        <v>908</v>
      </c>
      <c r="B3109" s="1" t="s">
        <v>2110</v>
      </c>
      <c r="D3109" s="1" t="s">
        <v>2111</v>
      </c>
      <c r="E3109" s="1" t="s">
        <v>3936</v>
      </c>
      <c r="F3109" s="3">
        <v>0</v>
      </c>
      <c r="G3109" s="8" t="s">
        <v>3895</v>
      </c>
      <c r="H3109" s="8" t="s">
        <v>5159</v>
      </c>
      <c r="I3109" s="3">
        <v>30</v>
      </c>
      <c r="J3109" s="3" t="s">
        <v>6099</v>
      </c>
      <c r="K3109" s="17" t="str">
        <f>HYPERLINK("http://ictvonline.org/taxonomyHistory.asp?taxnode_id=20173317","ICTVonline=20173317")</f>
        <v>ICTVonline=20173317</v>
      </c>
      <c r="L3109" s="3">
        <v>3108</v>
      </c>
    </row>
    <row r="3110" spans="1:12" x14ac:dyDescent="0.15">
      <c r="A3110" s="1" t="s">
        <v>908</v>
      </c>
      <c r="B3110" s="1" t="s">
        <v>2110</v>
      </c>
      <c r="D3110" s="1" t="s">
        <v>2111</v>
      </c>
      <c r="E3110" s="1" t="s">
        <v>3937</v>
      </c>
      <c r="F3110" s="3">
        <v>0</v>
      </c>
      <c r="G3110" s="8" t="s">
        <v>3895</v>
      </c>
      <c r="H3110" s="8" t="s">
        <v>5159</v>
      </c>
      <c r="I3110" s="3">
        <v>30</v>
      </c>
      <c r="J3110" s="3" t="s">
        <v>6099</v>
      </c>
      <c r="K3110" s="17" t="str">
        <f>HYPERLINK("http://ictvonline.org/taxonomyHistory.asp?taxnode_id=20173318","ICTVonline=20173318")</f>
        <v>ICTVonline=20173318</v>
      </c>
      <c r="L3110" s="3">
        <v>3109</v>
      </c>
    </row>
    <row r="3111" spans="1:12" x14ac:dyDescent="0.15">
      <c r="A3111" s="1" t="s">
        <v>908</v>
      </c>
      <c r="B3111" s="1" t="s">
        <v>2110</v>
      </c>
      <c r="D3111" s="1" t="s">
        <v>2111</v>
      </c>
      <c r="E3111" s="1" t="s">
        <v>3938</v>
      </c>
      <c r="F3111" s="3">
        <v>0</v>
      </c>
      <c r="G3111" s="8" t="s">
        <v>3895</v>
      </c>
      <c r="H3111" s="8" t="s">
        <v>5159</v>
      </c>
      <c r="I3111" s="3">
        <v>30</v>
      </c>
      <c r="J3111" s="3" t="s">
        <v>6099</v>
      </c>
      <c r="K3111" s="17" t="str">
        <f>HYPERLINK("http://ictvonline.org/taxonomyHistory.asp?taxnode_id=20173319","ICTVonline=20173319")</f>
        <v>ICTVonline=20173319</v>
      </c>
      <c r="L3111" s="3">
        <v>3110</v>
      </c>
    </row>
    <row r="3112" spans="1:12" x14ac:dyDescent="0.15">
      <c r="A3112" s="1" t="s">
        <v>908</v>
      </c>
      <c r="B3112" s="1" t="s">
        <v>2110</v>
      </c>
      <c r="D3112" s="1" t="s">
        <v>2111</v>
      </c>
      <c r="E3112" s="1" t="s">
        <v>1492</v>
      </c>
      <c r="F3112" s="3">
        <v>0</v>
      </c>
      <c r="G3112" s="8" t="s">
        <v>3895</v>
      </c>
      <c r="H3112" s="8" t="s">
        <v>5159</v>
      </c>
      <c r="I3112" s="3">
        <v>24</v>
      </c>
      <c r="J3112" s="3" t="s">
        <v>6103</v>
      </c>
      <c r="K3112" s="17" t="str">
        <f>HYPERLINK("http://ictvonline.org/taxonomyHistory.asp?taxnode_id=20173320","ICTVonline=20173320")</f>
        <v>ICTVonline=20173320</v>
      </c>
      <c r="L3112" s="3">
        <v>3111</v>
      </c>
    </row>
    <row r="3113" spans="1:12" x14ac:dyDescent="0.15">
      <c r="A3113" s="1" t="s">
        <v>908</v>
      </c>
      <c r="B3113" s="1" t="s">
        <v>2110</v>
      </c>
      <c r="D3113" s="1" t="s">
        <v>2111</v>
      </c>
      <c r="E3113" s="1" t="s">
        <v>1493</v>
      </c>
      <c r="F3113" s="3">
        <v>0</v>
      </c>
      <c r="G3113" s="8" t="s">
        <v>3895</v>
      </c>
      <c r="H3113" s="8" t="s">
        <v>5159</v>
      </c>
      <c r="I3113" s="3">
        <v>24</v>
      </c>
      <c r="J3113" s="3" t="s">
        <v>6103</v>
      </c>
      <c r="K3113" s="17" t="str">
        <f>HYPERLINK("http://ictvonline.org/taxonomyHistory.asp?taxnode_id=20173321","ICTVonline=20173321")</f>
        <v>ICTVonline=20173321</v>
      </c>
      <c r="L3113" s="3">
        <v>3112</v>
      </c>
    </row>
    <row r="3114" spans="1:12" x14ac:dyDescent="0.15">
      <c r="A3114" s="1" t="s">
        <v>908</v>
      </c>
      <c r="B3114" s="1" t="s">
        <v>2110</v>
      </c>
      <c r="D3114" s="1" t="s">
        <v>2111</v>
      </c>
      <c r="E3114" s="1" t="s">
        <v>6148</v>
      </c>
      <c r="F3114" s="3">
        <v>0</v>
      </c>
      <c r="G3114" s="8" t="s">
        <v>3895</v>
      </c>
      <c r="H3114" s="8" t="s">
        <v>5159</v>
      </c>
      <c r="I3114" s="3">
        <v>32</v>
      </c>
      <c r="J3114" s="3" t="s">
        <v>6106</v>
      </c>
      <c r="K3114" s="17" t="str">
        <f>HYPERLINK("http://ictvonline.org/taxonomyHistory.asp?taxnode_id=20175822","ICTVonline=20175822")</f>
        <v>ICTVonline=20175822</v>
      </c>
      <c r="L3114" s="3">
        <v>3113</v>
      </c>
    </row>
    <row r="3115" spans="1:12" x14ac:dyDescent="0.15">
      <c r="A3115" s="1" t="s">
        <v>908</v>
      </c>
      <c r="B3115" s="1" t="s">
        <v>2110</v>
      </c>
      <c r="D3115" s="1" t="s">
        <v>2111</v>
      </c>
      <c r="E3115" s="1" t="s">
        <v>2436</v>
      </c>
      <c r="F3115" s="3">
        <v>0</v>
      </c>
      <c r="G3115" s="8" t="s">
        <v>3895</v>
      </c>
      <c r="H3115" s="8" t="s">
        <v>5159</v>
      </c>
      <c r="I3115" s="3">
        <v>28</v>
      </c>
      <c r="J3115" s="3" t="s">
        <v>6100</v>
      </c>
      <c r="K3115" s="17" t="str">
        <f>HYPERLINK("http://ictvonline.org/taxonomyHistory.asp?taxnode_id=20173322","ICTVonline=20173322")</f>
        <v>ICTVonline=20173322</v>
      </c>
      <c r="L3115" s="3">
        <v>3114</v>
      </c>
    </row>
    <row r="3116" spans="1:12" x14ac:dyDescent="0.15">
      <c r="A3116" s="1" t="s">
        <v>908</v>
      </c>
      <c r="B3116" s="1" t="s">
        <v>2110</v>
      </c>
      <c r="D3116" s="1" t="s">
        <v>2111</v>
      </c>
      <c r="E3116" s="1" t="s">
        <v>1854</v>
      </c>
      <c r="F3116" s="3">
        <v>0</v>
      </c>
      <c r="G3116" s="8" t="s">
        <v>3895</v>
      </c>
      <c r="H3116" s="8" t="s">
        <v>5159</v>
      </c>
      <c r="I3116" s="3">
        <v>24</v>
      </c>
      <c r="J3116" s="3" t="s">
        <v>6107</v>
      </c>
      <c r="K3116" s="17" t="str">
        <f>HYPERLINK("http://ictvonline.org/taxonomyHistory.asp?taxnode_id=20173323","ICTVonline=20173323")</f>
        <v>ICTVonline=20173323</v>
      </c>
      <c r="L3116" s="3">
        <v>3115</v>
      </c>
    </row>
    <row r="3117" spans="1:12" x14ac:dyDescent="0.15">
      <c r="A3117" s="1" t="s">
        <v>908</v>
      </c>
      <c r="B3117" s="1" t="s">
        <v>2110</v>
      </c>
      <c r="D3117" s="1" t="s">
        <v>2111</v>
      </c>
      <c r="E3117" s="1" t="s">
        <v>1855</v>
      </c>
      <c r="F3117" s="3">
        <v>0</v>
      </c>
      <c r="G3117" s="8" t="s">
        <v>3895</v>
      </c>
      <c r="H3117" s="8" t="s">
        <v>5159</v>
      </c>
      <c r="I3117" s="3">
        <v>22</v>
      </c>
      <c r="J3117" s="3" t="s">
        <v>6101</v>
      </c>
      <c r="K3117" s="17" t="str">
        <f>HYPERLINK("http://ictvonline.org/taxonomyHistory.asp?taxnode_id=20173324","ICTVonline=20173324")</f>
        <v>ICTVonline=20173324</v>
      </c>
      <c r="L3117" s="3">
        <v>3116</v>
      </c>
    </row>
    <row r="3118" spans="1:12" x14ac:dyDescent="0.15">
      <c r="A3118" s="1" t="s">
        <v>908</v>
      </c>
      <c r="B3118" s="1" t="s">
        <v>2110</v>
      </c>
      <c r="D3118" s="1" t="s">
        <v>2111</v>
      </c>
      <c r="E3118" s="1" t="s">
        <v>2437</v>
      </c>
      <c r="F3118" s="3">
        <v>0</v>
      </c>
      <c r="G3118" s="8" t="s">
        <v>3895</v>
      </c>
      <c r="H3118" s="8" t="s">
        <v>5159</v>
      </c>
      <c r="I3118" s="3">
        <v>28</v>
      </c>
      <c r="J3118" s="3" t="s">
        <v>6100</v>
      </c>
      <c r="K3118" s="17" t="str">
        <f>HYPERLINK("http://ictvonline.org/taxonomyHistory.asp?taxnode_id=20173325","ICTVonline=20173325")</f>
        <v>ICTVonline=20173325</v>
      </c>
      <c r="L3118" s="3">
        <v>3117</v>
      </c>
    </row>
    <row r="3119" spans="1:12" x14ac:dyDescent="0.15">
      <c r="A3119" s="1" t="s">
        <v>908</v>
      </c>
      <c r="B3119" s="1" t="s">
        <v>2110</v>
      </c>
      <c r="D3119" s="1" t="s">
        <v>2111</v>
      </c>
      <c r="E3119" s="1" t="s">
        <v>2438</v>
      </c>
      <c r="F3119" s="3">
        <v>0</v>
      </c>
      <c r="G3119" s="8" t="s">
        <v>3895</v>
      </c>
      <c r="H3119" s="8" t="s">
        <v>5159</v>
      </c>
      <c r="I3119" s="3">
        <v>28</v>
      </c>
      <c r="J3119" s="3" t="s">
        <v>6100</v>
      </c>
      <c r="K3119" s="17" t="str">
        <f>HYPERLINK("http://ictvonline.org/taxonomyHistory.asp?taxnode_id=20173326","ICTVonline=20173326")</f>
        <v>ICTVonline=20173326</v>
      </c>
      <c r="L3119" s="3">
        <v>3118</v>
      </c>
    </row>
    <row r="3120" spans="1:12" x14ac:dyDescent="0.15">
      <c r="A3120" s="1" t="s">
        <v>908</v>
      </c>
      <c r="B3120" s="1" t="s">
        <v>2110</v>
      </c>
      <c r="D3120" s="1" t="s">
        <v>2111</v>
      </c>
      <c r="E3120" s="1" t="s">
        <v>2439</v>
      </c>
      <c r="F3120" s="3">
        <v>0</v>
      </c>
      <c r="G3120" s="8" t="s">
        <v>3895</v>
      </c>
      <c r="H3120" s="8" t="s">
        <v>5159</v>
      </c>
      <c r="I3120" s="3">
        <v>28</v>
      </c>
      <c r="J3120" s="3" t="s">
        <v>6100</v>
      </c>
      <c r="K3120" s="17" t="str">
        <f>HYPERLINK("http://ictvonline.org/taxonomyHistory.asp?taxnode_id=20173327","ICTVonline=20173327")</f>
        <v>ICTVonline=20173327</v>
      </c>
      <c r="L3120" s="3">
        <v>3119</v>
      </c>
    </row>
    <row r="3121" spans="1:12" x14ac:dyDescent="0.15">
      <c r="A3121" s="1" t="s">
        <v>908</v>
      </c>
      <c r="B3121" s="1" t="s">
        <v>2110</v>
      </c>
      <c r="D3121" s="1" t="s">
        <v>2111</v>
      </c>
      <c r="E3121" s="1" t="s">
        <v>3939</v>
      </c>
      <c r="F3121" s="3">
        <v>0</v>
      </c>
      <c r="G3121" s="8" t="s">
        <v>3895</v>
      </c>
      <c r="H3121" s="8" t="s">
        <v>5159</v>
      </c>
      <c r="I3121" s="3">
        <v>30</v>
      </c>
      <c r="J3121" s="3" t="s">
        <v>6099</v>
      </c>
      <c r="K3121" s="17" t="str">
        <f>HYPERLINK("http://ictvonline.org/taxonomyHistory.asp?taxnode_id=20173328","ICTVonline=20173328")</f>
        <v>ICTVonline=20173328</v>
      </c>
      <c r="L3121" s="3">
        <v>3120</v>
      </c>
    </row>
    <row r="3122" spans="1:12" x14ac:dyDescent="0.15">
      <c r="A3122" s="1" t="s">
        <v>908</v>
      </c>
      <c r="B3122" s="1" t="s">
        <v>2110</v>
      </c>
      <c r="D3122" s="1" t="s">
        <v>2111</v>
      </c>
      <c r="E3122" s="1" t="s">
        <v>2440</v>
      </c>
      <c r="F3122" s="3">
        <v>0</v>
      </c>
      <c r="G3122" s="8" t="s">
        <v>3895</v>
      </c>
      <c r="H3122" s="8" t="s">
        <v>5159</v>
      </c>
      <c r="I3122" s="3">
        <v>28</v>
      </c>
      <c r="J3122" s="3" t="s">
        <v>6100</v>
      </c>
      <c r="K3122" s="17" t="str">
        <f>HYPERLINK("http://ictvonline.org/taxonomyHistory.asp?taxnode_id=20173329","ICTVonline=20173329")</f>
        <v>ICTVonline=20173329</v>
      </c>
      <c r="L3122" s="3">
        <v>3121</v>
      </c>
    </row>
    <row r="3123" spans="1:12" x14ac:dyDescent="0.15">
      <c r="A3123" s="1" t="s">
        <v>908</v>
      </c>
      <c r="B3123" s="1" t="s">
        <v>2110</v>
      </c>
      <c r="D3123" s="1" t="s">
        <v>2111</v>
      </c>
      <c r="E3123" s="1" t="s">
        <v>2441</v>
      </c>
      <c r="F3123" s="3">
        <v>0</v>
      </c>
      <c r="G3123" s="8" t="s">
        <v>3895</v>
      </c>
      <c r="H3123" s="8" t="s">
        <v>5159</v>
      </c>
      <c r="I3123" s="3">
        <v>28</v>
      </c>
      <c r="J3123" s="3" t="s">
        <v>6100</v>
      </c>
      <c r="K3123" s="17" t="str">
        <f>HYPERLINK("http://ictvonline.org/taxonomyHistory.asp?taxnode_id=20173330","ICTVonline=20173330")</f>
        <v>ICTVonline=20173330</v>
      </c>
      <c r="L3123" s="3">
        <v>3122</v>
      </c>
    </row>
    <row r="3124" spans="1:12" x14ac:dyDescent="0.15">
      <c r="A3124" s="1" t="s">
        <v>908</v>
      </c>
      <c r="B3124" s="1" t="s">
        <v>2110</v>
      </c>
      <c r="D3124" s="1" t="s">
        <v>2111</v>
      </c>
      <c r="E3124" s="1" t="s">
        <v>3940</v>
      </c>
      <c r="F3124" s="3">
        <v>0</v>
      </c>
      <c r="G3124" s="8" t="s">
        <v>3895</v>
      </c>
      <c r="H3124" s="8" t="s">
        <v>5159</v>
      </c>
      <c r="I3124" s="3">
        <v>30</v>
      </c>
      <c r="J3124" s="3" t="s">
        <v>6099</v>
      </c>
      <c r="K3124" s="17" t="str">
        <f>HYPERLINK("http://ictvonline.org/taxonomyHistory.asp?taxnode_id=20173331","ICTVonline=20173331")</f>
        <v>ICTVonline=20173331</v>
      </c>
      <c r="L3124" s="3">
        <v>3123</v>
      </c>
    </row>
    <row r="3125" spans="1:12" x14ac:dyDescent="0.15">
      <c r="A3125" s="1" t="s">
        <v>908</v>
      </c>
      <c r="B3125" s="1" t="s">
        <v>2110</v>
      </c>
      <c r="D3125" s="1" t="s">
        <v>2111</v>
      </c>
      <c r="E3125" s="1" t="s">
        <v>819</v>
      </c>
      <c r="F3125" s="3">
        <v>0</v>
      </c>
      <c r="G3125" s="8" t="s">
        <v>3895</v>
      </c>
      <c r="H3125" s="8" t="s">
        <v>5159</v>
      </c>
      <c r="I3125" s="3">
        <v>24</v>
      </c>
      <c r="J3125" s="3" t="s">
        <v>6102</v>
      </c>
      <c r="K3125" s="17" t="str">
        <f>HYPERLINK("http://ictvonline.org/taxonomyHistory.asp?taxnode_id=20173332","ICTVonline=20173332")</f>
        <v>ICTVonline=20173332</v>
      </c>
      <c r="L3125" s="3">
        <v>3124</v>
      </c>
    </row>
    <row r="3126" spans="1:12" x14ac:dyDescent="0.15">
      <c r="A3126" s="1" t="s">
        <v>908</v>
      </c>
      <c r="B3126" s="1" t="s">
        <v>2110</v>
      </c>
      <c r="D3126" s="1" t="s">
        <v>2111</v>
      </c>
      <c r="E3126" s="1" t="s">
        <v>6149</v>
      </c>
      <c r="F3126" s="3">
        <v>0</v>
      </c>
      <c r="G3126" s="8" t="s">
        <v>3895</v>
      </c>
      <c r="H3126" s="8" t="s">
        <v>5159</v>
      </c>
      <c r="I3126" s="3">
        <v>32</v>
      </c>
      <c r="J3126" s="3" t="s">
        <v>6106</v>
      </c>
      <c r="K3126" s="17" t="str">
        <f>HYPERLINK("http://ictvonline.org/taxonomyHistory.asp?taxnode_id=20175823","ICTVonline=20175823")</f>
        <v>ICTVonline=20175823</v>
      </c>
      <c r="L3126" s="3">
        <v>3125</v>
      </c>
    </row>
    <row r="3127" spans="1:12" x14ac:dyDescent="0.15">
      <c r="A3127" s="1" t="s">
        <v>908</v>
      </c>
      <c r="B3127" s="1" t="s">
        <v>2110</v>
      </c>
      <c r="D3127" s="1" t="s">
        <v>2111</v>
      </c>
      <c r="E3127" s="1" t="s">
        <v>6150</v>
      </c>
      <c r="F3127" s="3">
        <v>0</v>
      </c>
      <c r="G3127" s="8" t="s">
        <v>3895</v>
      </c>
      <c r="H3127" s="8" t="s">
        <v>5159</v>
      </c>
      <c r="I3127" s="3">
        <v>32</v>
      </c>
      <c r="J3127" s="3" t="s">
        <v>6106</v>
      </c>
      <c r="K3127" s="17" t="str">
        <f>HYPERLINK("http://ictvonline.org/taxonomyHistory.asp?taxnode_id=20175824","ICTVonline=20175824")</f>
        <v>ICTVonline=20175824</v>
      </c>
      <c r="L3127" s="3">
        <v>3126</v>
      </c>
    </row>
    <row r="3128" spans="1:12" x14ac:dyDescent="0.15">
      <c r="A3128" s="1" t="s">
        <v>908</v>
      </c>
      <c r="B3128" s="1" t="s">
        <v>2110</v>
      </c>
      <c r="D3128" s="1" t="s">
        <v>2111</v>
      </c>
      <c r="E3128" s="1" t="s">
        <v>6151</v>
      </c>
      <c r="F3128" s="3">
        <v>0</v>
      </c>
      <c r="G3128" s="8" t="s">
        <v>3895</v>
      </c>
      <c r="H3128" s="8" t="s">
        <v>5159</v>
      </c>
      <c r="I3128" s="3">
        <v>32</v>
      </c>
      <c r="J3128" s="3" t="s">
        <v>6106</v>
      </c>
      <c r="K3128" s="17" t="str">
        <f>HYPERLINK("http://ictvonline.org/taxonomyHistory.asp?taxnode_id=20175825","ICTVonline=20175825")</f>
        <v>ICTVonline=20175825</v>
      </c>
      <c r="L3128" s="3">
        <v>3127</v>
      </c>
    </row>
    <row r="3129" spans="1:12" x14ac:dyDescent="0.15">
      <c r="A3129" s="1" t="s">
        <v>908</v>
      </c>
      <c r="B3129" s="1" t="s">
        <v>2110</v>
      </c>
      <c r="D3129" s="1" t="s">
        <v>2111</v>
      </c>
      <c r="E3129" s="1" t="s">
        <v>6152</v>
      </c>
      <c r="F3129" s="3">
        <v>0</v>
      </c>
      <c r="G3129" s="8" t="s">
        <v>3895</v>
      </c>
      <c r="H3129" s="8" t="s">
        <v>5159</v>
      </c>
      <c r="I3129" s="3">
        <v>32</v>
      </c>
      <c r="J3129" s="3" t="s">
        <v>6106</v>
      </c>
      <c r="K3129" s="17" t="str">
        <f>HYPERLINK("http://ictvonline.org/taxonomyHistory.asp?taxnode_id=20175826","ICTVonline=20175826")</f>
        <v>ICTVonline=20175826</v>
      </c>
      <c r="L3129" s="3">
        <v>3128</v>
      </c>
    </row>
    <row r="3130" spans="1:12" x14ac:dyDescent="0.15">
      <c r="A3130" s="1" t="s">
        <v>908</v>
      </c>
      <c r="B3130" s="1" t="s">
        <v>2110</v>
      </c>
      <c r="D3130" s="1" t="s">
        <v>2111</v>
      </c>
      <c r="E3130" s="1" t="s">
        <v>6153</v>
      </c>
      <c r="F3130" s="3">
        <v>0</v>
      </c>
      <c r="G3130" s="8" t="s">
        <v>3895</v>
      </c>
      <c r="H3130" s="8" t="s">
        <v>5159</v>
      </c>
      <c r="I3130" s="3">
        <v>32</v>
      </c>
      <c r="J3130" s="3" t="s">
        <v>6106</v>
      </c>
      <c r="K3130" s="17" t="str">
        <f>HYPERLINK("http://ictvonline.org/taxonomyHistory.asp?taxnode_id=20175827","ICTVonline=20175827")</f>
        <v>ICTVonline=20175827</v>
      </c>
      <c r="L3130" s="3">
        <v>3129</v>
      </c>
    </row>
    <row r="3131" spans="1:12" x14ac:dyDescent="0.15">
      <c r="A3131" s="1" t="s">
        <v>908</v>
      </c>
      <c r="B3131" s="1" t="s">
        <v>2110</v>
      </c>
      <c r="D3131" s="1" t="s">
        <v>2111</v>
      </c>
      <c r="E3131" s="1" t="s">
        <v>3941</v>
      </c>
      <c r="F3131" s="3">
        <v>0</v>
      </c>
      <c r="G3131" s="8" t="s">
        <v>3895</v>
      </c>
      <c r="H3131" s="8" t="s">
        <v>5159</v>
      </c>
      <c r="I3131" s="3">
        <v>30</v>
      </c>
      <c r="J3131" s="3" t="s">
        <v>6099</v>
      </c>
      <c r="K3131" s="17" t="str">
        <f>HYPERLINK("http://ictvonline.org/taxonomyHistory.asp?taxnode_id=20173333","ICTVonline=20173333")</f>
        <v>ICTVonline=20173333</v>
      </c>
      <c r="L3131" s="3">
        <v>3130</v>
      </c>
    </row>
    <row r="3132" spans="1:12" x14ac:dyDescent="0.15">
      <c r="A3132" s="1" t="s">
        <v>908</v>
      </c>
      <c r="B3132" s="1" t="s">
        <v>2110</v>
      </c>
      <c r="D3132" s="1" t="s">
        <v>2111</v>
      </c>
      <c r="E3132" s="1" t="s">
        <v>3942</v>
      </c>
      <c r="F3132" s="3">
        <v>0</v>
      </c>
      <c r="G3132" s="8" t="s">
        <v>3895</v>
      </c>
      <c r="H3132" s="8" t="s">
        <v>5159</v>
      </c>
      <c r="I3132" s="3">
        <v>30</v>
      </c>
      <c r="J3132" s="3" t="s">
        <v>6099</v>
      </c>
      <c r="K3132" s="17" t="str">
        <f>HYPERLINK("http://ictvonline.org/taxonomyHistory.asp?taxnode_id=20173334","ICTVonline=20173334")</f>
        <v>ICTVonline=20173334</v>
      </c>
      <c r="L3132" s="3">
        <v>3131</v>
      </c>
    </row>
    <row r="3133" spans="1:12" x14ac:dyDescent="0.15">
      <c r="A3133" s="1" t="s">
        <v>908</v>
      </c>
      <c r="B3133" s="1" t="s">
        <v>2110</v>
      </c>
      <c r="D3133" s="1" t="s">
        <v>2111</v>
      </c>
      <c r="E3133" s="1" t="s">
        <v>2442</v>
      </c>
      <c r="F3133" s="3">
        <v>0</v>
      </c>
      <c r="G3133" s="8" t="s">
        <v>3895</v>
      </c>
      <c r="H3133" s="8" t="s">
        <v>5159</v>
      </c>
      <c r="I3133" s="3">
        <v>28</v>
      </c>
      <c r="J3133" s="3" t="s">
        <v>6100</v>
      </c>
      <c r="K3133" s="17" t="str">
        <f>HYPERLINK("http://ictvonline.org/taxonomyHistory.asp?taxnode_id=20173335","ICTVonline=20173335")</f>
        <v>ICTVonline=20173335</v>
      </c>
      <c r="L3133" s="3">
        <v>3132</v>
      </c>
    </row>
    <row r="3134" spans="1:12" x14ac:dyDescent="0.15">
      <c r="A3134" s="1" t="s">
        <v>908</v>
      </c>
      <c r="B3134" s="1" t="s">
        <v>2110</v>
      </c>
      <c r="D3134" s="1" t="s">
        <v>2111</v>
      </c>
      <c r="E3134" s="1" t="s">
        <v>3943</v>
      </c>
      <c r="F3134" s="3">
        <v>0</v>
      </c>
      <c r="G3134" s="8" t="s">
        <v>3895</v>
      </c>
      <c r="H3134" s="8" t="s">
        <v>5159</v>
      </c>
      <c r="I3134" s="3">
        <v>30</v>
      </c>
      <c r="J3134" s="3" t="s">
        <v>6099</v>
      </c>
      <c r="K3134" s="17" t="str">
        <f>HYPERLINK("http://ictvonline.org/taxonomyHistory.asp?taxnode_id=20173336","ICTVonline=20173336")</f>
        <v>ICTVonline=20173336</v>
      </c>
      <c r="L3134" s="3">
        <v>3133</v>
      </c>
    </row>
    <row r="3135" spans="1:12" x14ac:dyDescent="0.15">
      <c r="A3135" s="1" t="s">
        <v>908</v>
      </c>
      <c r="B3135" s="1" t="s">
        <v>2110</v>
      </c>
      <c r="D3135" s="1" t="s">
        <v>2111</v>
      </c>
      <c r="E3135" s="1" t="s">
        <v>2443</v>
      </c>
      <c r="F3135" s="3">
        <v>0</v>
      </c>
      <c r="G3135" s="8" t="s">
        <v>3895</v>
      </c>
      <c r="H3135" s="8" t="s">
        <v>5159</v>
      </c>
      <c r="I3135" s="3">
        <v>28</v>
      </c>
      <c r="J3135" s="3" t="s">
        <v>6100</v>
      </c>
      <c r="K3135" s="17" t="str">
        <f>HYPERLINK("http://ictvonline.org/taxonomyHistory.asp?taxnode_id=20173337","ICTVonline=20173337")</f>
        <v>ICTVonline=20173337</v>
      </c>
      <c r="L3135" s="3">
        <v>3134</v>
      </c>
    </row>
    <row r="3136" spans="1:12" x14ac:dyDescent="0.15">
      <c r="A3136" s="1" t="s">
        <v>908</v>
      </c>
      <c r="B3136" s="1" t="s">
        <v>2110</v>
      </c>
      <c r="D3136" s="1" t="s">
        <v>2111</v>
      </c>
      <c r="E3136" s="1" t="s">
        <v>820</v>
      </c>
      <c r="F3136" s="3">
        <v>0</v>
      </c>
      <c r="G3136" s="8" t="s">
        <v>3895</v>
      </c>
      <c r="H3136" s="8" t="s">
        <v>5159</v>
      </c>
      <c r="I3136" s="3">
        <v>22</v>
      </c>
      <c r="J3136" s="3" t="s">
        <v>6101</v>
      </c>
      <c r="K3136" s="17" t="str">
        <f>HYPERLINK("http://ictvonline.org/taxonomyHistory.asp?taxnode_id=20173338","ICTVonline=20173338")</f>
        <v>ICTVonline=20173338</v>
      </c>
      <c r="L3136" s="3">
        <v>3135</v>
      </c>
    </row>
    <row r="3137" spans="1:12" x14ac:dyDescent="0.15">
      <c r="A3137" s="1" t="s">
        <v>908</v>
      </c>
      <c r="B3137" s="1" t="s">
        <v>2110</v>
      </c>
      <c r="D3137" s="1" t="s">
        <v>2111</v>
      </c>
      <c r="E3137" s="1" t="s">
        <v>821</v>
      </c>
      <c r="F3137" s="3">
        <v>0</v>
      </c>
      <c r="G3137" s="8" t="s">
        <v>3895</v>
      </c>
      <c r="H3137" s="8" t="s">
        <v>5159</v>
      </c>
      <c r="I3137" s="3">
        <v>22</v>
      </c>
      <c r="J3137" s="3" t="s">
        <v>6101</v>
      </c>
      <c r="K3137" s="17" t="str">
        <f>HYPERLINK("http://ictvonline.org/taxonomyHistory.asp?taxnode_id=20173339","ICTVonline=20173339")</f>
        <v>ICTVonline=20173339</v>
      </c>
      <c r="L3137" s="3">
        <v>3136</v>
      </c>
    </row>
    <row r="3138" spans="1:12" x14ac:dyDescent="0.15">
      <c r="A3138" s="1" t="s">
        <v>908</v>
      </c>
      <c r="B3138" s="1" t="s">
        <v>2110</v>
      </c>
      <c r="D3138" s="1" t="s">
        <v>2111</v>
      </c>
      <c r="E3138" s="1" t="s">
        <v>3944</v>
      </c>
      <c r="F3138" s="3">
        <v>0</v>
      </c>
      <c r="G3138" s="8" t="s">
        <v>3895</v>
      </c>
      <c r="H3138" s="8" t="s">
        <v>5159</v>
      </c>
      <c r="I3138" s="3">
        <v>30</v>
      </c>
      <c r="J3138" s="3" t="s">
        <v>6099</v>
      </c>
      <c r="K3138" s="17" t="str">
        <f>HYPERLINK("http://ictvonline.org/taxonomyHistory.asp?taxnode_id=20173340","ICTVonline=20173340")</f>
        <v>ICTVonline=20173340</v>
      </c>
      <c r="L3138" s="3">
        <v>3137</v>
      </c>
    </row>
    <row r="3139" spans="1:12" x14ac:dyDescent="0.15">
      <c r="A3139" s="1" t="s">
        <v>908</v>
      </c>
      <c r="B3139" s="1" t="s">
        <v>2110</v>
      </c>
      <c r="D3139" s="1" t="s">
        <v>2111</v>
      </c>
      <c r="E3139" s="1" t="s">
        <v>822</v>
      </c>
      <c r="F3139" s="3">
        <v>0</v>
      </c>
      <c r="G3139" s="8" t="s">
        <v>3895</v>
      </c>
      <c r="H3139" s="8" t="s">
        <v>5161</v>
      </c>
      <c r="I3139" s="3">
        <v>16</v>
      </c>
      <c r="J3139" s="3" t="s">
        <v>6032</v>
      </c>
      <c r="K3139" s="17" t="str">
        <f>HYPERLINK("http://ictvonline.org/taxonomyHistory.asp?taxnode_id=20173341","ICTVonline=20173341")</f>
        <v>ICTVonline=20173341</v>
      </c>
      <c r="L3139" s="3">
        <v>3138</v>
      </c>
    </row>
    <row r="3140" spans="1:12" x14ac:dyDescent="0.15">
      <c r="A3140" s="1" t="s">
        <v>908</v>
      </c>
      <c r="B3140" s="1" t="s">
        <v>2110</v>
      </c>
      <c r="D3140" s="1" t="s">
        <v>2111</v>
      </c>
      <c r="E3140" s="1" t="s">
        <v>2444</v>
      </c>
      <c r="F3140" s="3">
        <v>0</v>
      </c>
      <c r="G3140" s="8" t="s">
        <v>3895</v>
      </c>
      <c r="H3140" s="8" t="s">
        <v>5159</v>
      </c>
      <c r="I3140" s="3">
        <v>28</v>
      </c>
      <c r="J3140" s="3" t="s">
        <v>6100</v>
      </c>
      <c r="K3140" s="17" t="str">
        <f>HYPERLINK("http://ictvonline.org/taxonomyHistory.asp?taxnode_id=20173342","ICTVonline=20173342")</f>
        <v>ICTVonline=20173342</v>
      </c>
      <c r="L3140" s="3">
        <v>3139</v>
      </c>
    </row>
    <row r="3141" spans="1:12" x14ac:dyDescent="0.15">
      <c r="A3141" s="1" t="s">
        <v>908</v>
      </c>
      <c r="B3141" s="1" t="s">
        <v>2110</v>
      </c>
      <c r="D3141" s="1" t="s">
        <v>2111</v>
      </c>
      <c r="E3141" s="1" t="s">
        <v>6154</v>
      </c>
      <c r="F3141" s="3">
        <v>0</v>
      </c>
      <c r="G3141" s="8" t="s">
        <v>3895</v>
      </c>
      <c r="H3141" s="8" t="s">
        <v>5159</v>
      </c>
      <c r="I3141" s="3">
        <v>32</v>
      </c>
      <c r="J3141" s="3" t="s">
        <v>6106</v>
      </c>
      <c r="K3141" s="17" t="str">
        <f>HYPERLINK("http://ictvonline.org/taxonomyHistory.asp?taxnode_id=20175828","ICTVonline=20175828")</f>
        <v>ICTVonline=20175828</v>
      </c>
      <c r="L3141" s="3">
        <v>3140</v>
      </c>
    </row>
    <row r="3142" spans="1:12" x14ac:dyDescent="0.15">
      <c r="A3142" s="1" t="s">
        <v>908</v>
      </c>
      <c r="B3142" s="1" t="s">
        <v>2110</v>
      </c>
      <c r="D3142" s="1" t="s">
        <v>2111</v>
      </c>
      <c r="E3142" s="1" t="s">
        <v>823</v>
      </c>
      <c r="F3142" s="3">
        <v>0</v>
      </c>
      <c r="G3142" s="8" t="s">
        <v>3895</v>
      </c>
      <c r="H3142" s="8" t="s">
        <v>5159</v>
      </c>
      <c r="I3142" s="3">
        <v>22</v>
      </c>
      <c r="J3142" s="3" t="s">
        <v>6101</v>
      </c>
      <c r="K3142" s="17" t="str">
        <f>HYPERLINK("http://ictvonline.org/taxonomyHistory.asp?taxnode_id=20173343","ICTVonline=20173343")</f>
        <v>ICTVonline=20173343</v>
      </c>
      <c r="L3142" s="3">
        <v>3141</v>
      </c>
    </row>
    <row r="3143" spans="1:12" x14ac:dyDescent="0.15">
      <c r="A3143" s="1" t="s">
        <v>908</v>
      </c>
      <c r="B3143" s="1" t="s">
        <v>2110</v>
      </c>
      <c r="D3143" s="1" t="s">
        <v>2111</v>
      </c>
      <c r="E3143" s="1" t="s">
        <v>824</v>
      </c>
      <c r="F3143" s="3">
        <v>0</v>
      </c>
      <c r="G3143" s="8" t="s">
        <v>3895</v>
      </c>
      <c r="H3143" s="8" t="s">
        <v>5159</v>
      </c>
      <c r="I3143" s="3">
        <v>24</v>
      </c>
      <c r="J3143" s="3" t="s">
        <v>6107</v>
      </c>
      <c r="K3143" s="17" t="str">
        <f>HYPERLINK("http://ictvonline.org/taxonomyHistory.asp?taxnode_id=20173344","ICTVonline=20173344")</f>
        <v>ICTVonline=20173344</v>
      </c>
      <c r="L3143" s="3">
        <v>3142</v>
      </c>
    </row>
    <row r="3144" spans="1:12" x14ac:dyDescent="0.15">
      <c r="A3144" s="1" t="s">
        <v>908</v>
      </c>
      <c r="B3144" s="1" t="s">
        <v>2110</v>
      </c>
      <c r="D3144" s="1" t="s">
        <v>2111</v>
      </c>
      <c r="E3144" s="1" t="s">
        <v>825</v>
      </c>
      <c r="F3144" s="3">
        <v>0</v>
      </c>
      <c r="G3144" s="8" t="s">
        <v>3895</v>
      </c>
      <c r="H3144" s="8" t="s">
        <v>5159</v>
      </c>
      <c r="I3144" s="3">
        <v>24</v>
      </c>
      <c r="J3144" s="3" t="s">
        <v>6102</v>
      </c>
      <c r="K3144" s="17" t="str">
        <f>HYPERLINK("http://ictvonline.org/taxonomyHistory.asp?taxnode_id=20173345","ICTVonline=20173345")</f>
        <v>ICTVonline=20173345</v>
      </c>
      <c r="L3144" s="3">
        <v>3143</v>
      </c>
    </row>
    <row r="3145" spans="1:12" x14ac:dyDescent="0.15">
      <c r="A3145" s="1" t="s">
        <v>908</v>
      </c>
      <c r="B3145" s="1" t="s">
        <v>2110</v>
      </c>
      <c r="D3145" s="1" t="s">
        <v>2111</v>
      </c>
      <c r="E3145" s="1" t="s">
        <v>2445</v>
      </c>
      <c r="F3145" s="3">
        <v>0</v>
      </c>
      <c r="G3145" s="8" t="s">
        <v>3895</v>
      </c>
      <c r="H3145" s="8" t="s">
        <v>5159</v>
      </c>
      <c r="I3145" s="3">
        <v>28</v>
      </c>
      <c r="J3145" s="3" t="s">
        <v>6100</v>
      </c>
      <c r="K3145" s="17" t="str">
        <f>HYPERLINK("http://ictvonline.org/taxonomyHistory.asp?taxnode_id=20173346","ICTVonline=20173346")</f>
        <v>ICTVonline=20173346</v>
      </c>
      <c r="L3145" s="3">
        <v>3144</v>
      </c>
    </row>
    <row r="3146" spans="1:12" x14ac:dyDescent="0.15">
      <c r="A3146" s="1" t="s">
        <v>908</v>
      </c>
      <c r="B3146" s="1" t="s">
        <v>2110</v>
      </c>
      <c r="D3146" s="1" t="s">
        <v>2111</v>
      </c>
      <c r="E3146" s="1" t="s">
        <v>2446</v>
      </c>
      <c r="F3146" s="3">
        <v>0</v>
      </c>
      <c r="G3146" s="8" t="s">
        <v>3895</v>
      </c>
      <c r="H3146" s="8" t="s">
        <v>5159</v>
      </c>
      <c r="I3146" s="3">
        <v>28</v>
      </c>
      <c r="J3146" s="3" t="s">
        <v>6100</v>
      </c>
      <c r="K3146" s="17" t="str">
        <f>HYPERLINK("http://ictvonline.org/taxonomyHistory.asp?taxnode_id=20173347","ICTVonline=20173347")</f>
        <v>ICTVonline=20173347</v>
      </c>
      <c r="L3146" s="3">
        <v>3145</v>
      </c>
    </row>
    <row r="3147" spans="1:12" x14ac:dyDescent="0.15">
      <c r="A3147" s="1" t="s">
        <v>908</v>
      </c>
      <c r="B3147" s="1" t="s">
        <v>2110</v>
      </c>
      <c r="D3147" s="1" t="s">
        <v>2111</v>
      </c>
      <c r="E3147" s="1" t="s">
        <v>2447</v>
      </c>
      <c r="F3147" s="3">
        <v>0</v>
      </c>
      <c r="G3147" s="8" t="s">
        <v>3895</v>
      </c>
      <c r="H3147" s="8" t="s">
        <v>5159</v>
      </c>
      <c r="I3147" s="3">
        <v>28</v>
      </c>
      <c r="J3147" s="3" t="s">
        <v>6100</v>
      </c>
      <c r="K3147" s="17" t="str">
        <f>HYPERLINK("http://ictvonline.org/taxonomyHistory.asp?taxnode_id=20173348","ICTVonline=20173348")</f>
        <v>ICTVonline=20173348</v>
      </c>
      <c r="L3147" s="3">
        <v>3146</v>
      </c>
    </row>
    <row r="3148" spans="1:12" x14ac:dyDescent="0.15">
      <c r="A3148" s="1" t="s">
        <v>908</v>
      </c>
      <c r="B3148" s="1" t="s">
        <v>2110</v>
      </c>
      <c r="D3148" s="1" t="s">
        <v>2111</v>
      </c>
      <c r="E3148" s="1" t="s">
        <v>2448</v>
      </c>
      <c r="F3148" s="3">
        <v>0</v>
      </c>
      <c r="G3148" s="8" t="s">
        <v>3895</v>
      </c>
      <c r="H3148" s="8" t="s">
        <v>5159</v>
      </c>
      <c r="I3148" s="3">
        <v>28</v>
      </c>
      <c r="J3148" s="3" t="s">
        <v>6100</v>
      </c>
      <c r="K3148" s="17" t="str">
        <f>HYPERLINK("http://ictvonline.org/taxonomyHistory.asp?taxnode_id=20173349","ICTVonline=20173349")</f>
        <v>ICTVonline=20173349</v>
      </c>
      <c r="L3148" s="3">
        <v>3147</v>
      </c>
    </row>
    <row r="3149" spans="1:12" x14ac:dyDescent="0.15">
      <c r="A3149" s="1" t="s">
        <v>908</v>
      </c>
      <c r="B3149" s="1" t="s">
        <v>2110</v>
      </c>
      <c r="D3149" s="1" t="s">
        <v>2111</v>
      </c>
      <c r="E3149" s="1" t="s">
        <v>2449</v>
      </c>
      <c r="F3149" s="3">
        <v>0</v>
      </c>
      <c r="G3149" s="8" t="s">
        <v>3895</v>
      </c>
      <c r="H3149" s="8" t="s">
        <v>5159</v>
      </c>
      <c r="I3149" s="3">
        <v>28</v>
      </c>
      <c r="J3149" s="3" t="s">
        <v>6100</v>
      </c>
      <c r="K3149" s="17" t="str">
        <f>HYPERLINK("http://ictvonline.org/taxonomyHistory.asp?taxnode_id=20173350","ICTVonline=20173350")</f>
        <v>ICTVonline=20173350</v>
      </c>
      <c r="L3149" s="3">
        <v>3148</v>
      </c>
    </row>
    <row r="3150" spans="1:12" x14ac:dyDescent="0.15">
      <c r="A3150" s="1" t="s">
        <v>908</v>
      </c>
      <c r="B3150" s="1" t="s">
        <v>2110</v>
      </c>
      <c r="D3150" s="1" t="s">
        <v>2111</v>
      </c>
      <c r="E3150" s="1" t="s">
        <v>826</v>
      </c>
      <c r="F3150" s="3">
        <v>0</v>
      </c>
      <c r="G3150" s="8" t="s">
        <v>3895</v>
      </c>
      <c r="H3150" s="8" t="s">
        <v>5159</v>
      </c>
      <c r="I3150" s="3">
        <v>22</v>
      </c>
      <c r="J3150" s="3" t="s">
        <v>6101</v>
      </c>
      <c r="K3150" s="17" t="str">
        <f>HYPERLINK("http://ictvonline.org/taxonomyHistory.asp?taxnode_id=20173351","ICTVonline=20173351")</f>
        <v>ICTVonline=20173351</v>
      </c>
      <c r="L3150" s="3">
        <v>3149</v>
      </c>
    </row>
    <row r="3151" spans="1:12" x14ac:dyDescent="0.15">
      <c r="A3151" s="1" t="s">
        <v>908</v>
      </c>
      <c r="B3151" s="1" t="s">
        <v>2110</v>
      </c>
      <c r="D3151" s="1" t="s">
        <v>2111</v>
      </c>
      <c r="E3151" s="1" t="s">
        <v>2450</v>
      </c>
      <c r="F3151" s="3">
        <v>0</v>
      </c>
      <c r="G3151" s="8" t="s">
        <v>3895</v>
      </c>
      <c r="H3151" s="8" t="s">
        <v>5159</v>
      </c>
      <c r="I3151" s="3">
        <v>28</v>
      </c>
      <c r="J3151" s="3" t="s">
        <v>6100</v>
      </c>
      <c r="K3151" s="17" t="str">
        <f>HYPERLINK("http://ictvonline.org/taxonomyHistory.asp?taxnode_id=20173352","ICTVonline=20173352")</f>
        <v>ICTVonline=20173352</v>
      </c>
      <c r="L3151" s="3">
        <v>3150</v>
      </c>
    </row>
    <row r="3152" spans="1:12" x14ac:dyDescent="0.15">
      <c r="A3152" s="1" t="s">
        <v>908</v>
      </c>
      <c r="B3152" s="1" t="s">
        <v>2110</v>
      </c>
      <c r="D3152" s="1" t="s">
        <v>2111</v>
      </c>
      <c r="E3152" s="1" t="s">
        <v>3945</v>
      </c>
      <c r="F3152" s="3">
        <v>0</v>
      </c>
      <c r="G3152" s="8" t="s">
        <v>3895</v>
      </c>
      <c r="H3152" s="8" t="s">
        <v>5159</v>
      </c>
      <c r="I3152" s="3">
        <v>30</v>
      </c>
      <c r="J3152" s="3" t="s">
        <v>6099</v>
      </c>
      <c r="K3152" s="17" t="str">
        <f>HYPERLINK("http://ictvonline.org/taxonomyHistory.asp?taxnode_id=20173353","ICTVonline=20173353")</f>
        <v>ICTVonline=20173353</v>
      </c>
      <c r="L3152" s="3">
        <v>3151</v>
      </c>
    </row>
    <row r="3153" spans="1:12" x14ac:dyDescent="0.15">
      <c r="A3153" s="1" t="s">
        <v>908</v>
      </c>
      <c r="B3153" s="1" t="s">
        <v>2110</v>
      </c>
      <c r="D3153" s="1" t="s">
        <v>2111</v>
      </c>
      <c r="E3153" s="1" t="s">
        <v>2451</v>
      </c>
      <c r="F3153" s="3">
        <v>0</v>
      </c>
      <c r="G3153" s="8" t="s">
        <v>3895</v>
      </c>
      <c r="H3153" s="8" t="s">
        <v>5159</v>
      </c>
      <c r="I3153" s="3">
        <v>28</v>
      </c>
      <c r="J3153" s="3" t="s">
        <v>6100</v>
      </c>
      <c r="K3153" s="17" t="str">
        <f>HYPERLINK("http://ictvonline.org/taxonomyHistory.asp?taxnode_id=20173354","ICTVonline=20173354")</f>
        <v>ICTVonline=20173354</v>
      </c>
      <c r="L3153" s="3">
        <v>3152</v>
      </c>
    </row>
    <row r="3154" spans="1:12" x14ac:dyDescent="0.15">
      <c r="A3154" s="1" t="s">
        <v>908</v>
      </c>
      <c r="B3154" s="1" t="s">
        <v>2110</v>
      </c>
      <c r="D3154" s="1" t="s">
        <v>2111</v>
      </c>
      <c r="E3154" s="1" t="s">
        <v>827</v>
      </c>
      <c r="F3154" s="3">
        <v>0</v>
      </c>
      <c r="G3154" s="8" t="s">
        <v>3895</v>
      </c>
      <c r="H3154" s="8" t="s">
        <v>5159</v>
      </c>
      <c r="I3154" s="3">
        <v>24</v>
      </c>
      <c r="J3154" s="3" t="s">
        <v>6102</v>
      </c>
      <c r="K3154" s="17" t="str">
        <f>HYPERLINK("http://ictvonline.org/taxonomyHistory.asp?taxnode_id=20173355","ICTVonline=20173355")</f>
        <v>ICTVonline=20173355</v>
      </c>
      <c r="L3154" s="3">
        <v>3153</v>
      </c>
    </row>
    <row r="3155" spans="1:12" x14ac:dyDescent="0.15">
      <c r="A3155" s="1" t="s">
        <v>908</v>
      </c>
      <c r="B3155" s="1" t="s">
        <v>2110</v>
      </c>
      <c r="D3155" s="1" t="s">
        <v>2111</v>
      </c>
      <c r="E3155" s="1" t="s">
        <v>828</v>
      </c>
      <c r="F3155" s="3">
        <v>0</v>
      </c>
      <c r="G3155" s="8" t="s">
        <v>3895</v>
      </c>
      <c r="H3155" s="8" t="s">
        <v>5159</v>
      </c>
      <c r="I3155" s="3">
        <v>22</v>
      </c>
      <c r="J3155" s="3" t="s">
        <v>6101</v>
      </c>
      <c r="K3155" s="17" t="str">
        <f>HYPERLINK("http://ictvonline.org/taxonomyHistory.asp?taxnode_id=20173356","ICTVonline=20173356")</f>
        <v>ICTVonline=20173356</v>
      </c>
      <c r="L3155" s="3">
        <v>3154</v>
      </c>
    </row>
    <row r="3156" spans="1:12" x14ac:dyDescent="0.15">
      <c r="A3156" s="1" t="s">
        <v>908</v>
      </c>
      <c r="B3156" s="1" t="s">
        <v>2110</v>
      </c>
      <c r="D3156" s="1" t="s">
        <v>2111</v>
      </c>
      <c r="E3156" s="1" t="s">
        <v>1862</v>
      </c>
      <c r="F3156" s="3">
        <v>0</v>
      </c>
      <c r="G3156" s="8" t="s">
        <v>3895</v>
      </c>
      <c r="H3156" s="8" t="s">
        <v>5159</v>
      </c>
      <c r="I3156" s="3">
        <v>24</v>
      </c>
      <c r="J3156" s="3" t="s">
        <v>6103</v>
      </c>
      <c r="K3156" s="17" t="str">
        <f>HYPERLINK("http://ictvonline.org/taxonomyHistory.asp?taxnode_id=20173357","ICTVonline=20173357")</f>
        <v>ICTVonline=20173357</v>
      </c>
      <c r="L3156" s="3">
        <v>3155</v>
      </c>
    </row>
    <row r="3157" spans="1:12" x14ac:dyDescent="0.15">
      <c r="A3157" s="1" t="s">
        <v>908</v>
      </c>
      <c r="B3157" s="1" t="s">
        <v>2110</v>
      </c>
      <c r="D3157" s="1" t="s">
        <v>2111</v>
      </c>
      <c r="E3157" s="1" t="s">
        <v>2452</v>
      </c>
      <c r="F3157" s="3">
        <v>0</v>
      </c>
      <c r="G3157" s="8" t="s">
        <v>3895</v>
      </c>
      <c r="H3157" s="8" t="s">
        <v>5159</v>
      </c>
      <c r="I3157" s="3">
        <v>28</v>
      </c>
      <c r="J3157" s="3" t="s">
        <v>6100</v>
      </c>
      <c r="K3157" s="17" t="str">
        <f>HYPERLINK("http://ictvonline.org/taxonomyHistory.asp?taxnode_id=20173358","ICTVonline=20173358")</f>
        <v>ICTVonline=20173358</v>
      </c>
      <c r="L3157" s="3">
        <v>3156</v>
      </c>
    </row>
    <row r="3158" spans="1:12" x14ac:dyDescent="0.15">
      <c r="A3158" s="1" t="s">
        <v>908</v>
      </c>
      <c r="B3158" s="1" t="s">
        <v>2110</v>
      </c>
      <c r="D3158" s="1" t="s">
        <v>2111</v>
      </c>
      <c r="E3158" s="1" t="s">
        <v>2453</v>
      </c>
      <c r="F3158" s="3">
        <v>0</v>
      </c>
      <c r="G3158" s="8" t="s">
        <v>3895</v>
      </c>
      <c r="H3158" s="8" t="s">
        <v>5159</v>
      </c>
      <c r="I3158" s="3">
        <v>28</v>
      </c>
      <c r="J3158" s="3" t="s">
        <v>6100</v>
      </c>
      <c r="K3158" s="17" t="str">
        <f>HYPERLINK("http://ictvonline.org/taxonomyHistory.asp?taxnode_id=20173359","ICTVonline=20173359")</f>
        <v>ICTVonline=20173359</v>
      </c>
      <c r="L3158" s="3">
        <v>3157</v>
      </c>
    </row>
    <row r="3159" spans="1:12" x14ac:dyDescent="0.15">
      <c r="A3159" s="1" t="s">
        <v>908</v>
      </c>
      <c r="B3159" s="1" t="s">
        <v>2110</v>
      </c>
      <c r="D3159" s="1" t="s">
        <v>2111</v>
      </c>
      <c r="E3159" s="1" t="s">
        <v>1863</v>
      </c>
      <c r="F3159" s="3">
        <v>0</v>
      </c>
      <c r="G3159" s="8" t="s">
        <v>3895</v>
      </c>
      <c r="H3159" s="8" t="s">
        <v>5159</v>
      </c>
      <c r="I3159" s="3">
        <v>24</v>
      </c>
      <c r="J3159" s="3" t="s">
        <v>6103</v>
      </c>
      <c r="K3159" s="17" t="str">
        <f>HYPERLINK("http://ictvonline.org/taxonomyHistory.asp?taxnode_id=20173360","ICTVonline=20173360")</f>
        <v>ICTVonline=20173360</v>
      </c>
      <c r="L3159" s="3">
        <v>3158</v>
      </c>
    </row>
    <row r="3160" spans="1:12" x14ac:dyDescent="0.15">
      <c r="A3160" s="1" t="s">
        <v>908</v>
      </c>
      <c r="B3160" s="1" t="s">
        <v>2110</v>
      </c>
      <c r="D3160" s="1" t="s">
        <v>2111</v>
      </c>
      <c r="E3160" s="1" t="s">
        <v>1864</v>
      </c>
      <c r="F3160" s="3">
        <v>0</v>
      </c>
      <c r="G3160" s="8" t="s">
        <v>3895</v>
      </c>
      <c r="H3160" s="8" t="s">
        <v>5159</v>
      </c>
      <c r="I3160" s="3">
        <v>22</v>
      </c>
      <c r="J3160" s="3" t="s">
        <v>6101</v>
      </c>
      <c r="K3160" s="17" t="str">
        <f>HYPERLINK("http://ictvonline.org/taxonomyHistory.asp?taxnode_id=20173361","ICTVonline=20173361")</f>
        <v>ICTVonline=20173361</v>
      </c>
      <c r="L3160" s="3">
        <v>3159</v>
      </c>
    </row>
    <row r="3161" spans="1:12" x14ac:dyDescent="0.15">
      <c r="A3161" s="1" t="s">
        <v>908</v>
      </c>
      <c r="B3161" s="1" t="s">
        <v>2110</v>
      </c>
      <c r="D3161" s="1" t="s">
        <v>2111</v>
      </c>
      <c r="E3161" s="1" t="s">
        <v>3946</v>
      </c>
      <c r="F3161" s="3">
        <v>0</v>
      </c>
      <c r="G3161" s="8" t="s">
        <v>3895</v>
      </c>
      <c r="H3161" s="8" t="s">
        <v>5159</v>
      </c>
      <c r="I3161" s="3">
        <v>30</v>
      </c>
      <c r="J3161" s="3" t="s">
        <v>6099</v>
      </c>
      <c r="K3161" s="17" t="str">
        <f>HYPERLINK("http://ictvonline.org/taxonomyHistory.asp?taxnode_id=20173362","ICTVonline=20173362")</f>
        <v>ICTVonline=20173362</v>
      </c>
      <c r="L3161" s="3">
        <v>3160</v>
      </c>
    </row>
    <row r="3162" spans="1:12" x14ac:dyDescent="0.15">
      <c r="A3162" s="1" t="s">
        <v>908</v>
      </c>
      <c r="B3162" s="1" t="s">
        <v>2110</v>
      </c>
      <c r="D3162" s="1" t="s">
        <v>2111</v>
      </c>
      <c r="E3162" s="1" t="s">
        <v>1865</v>
      </c>
      <c r="F3162" s="3">
        <v>0</v>
      </c>
      <c r="G3162" s="8" t="s">
        <v>3895</v>
      </c>
      <c r="H3162" s="8" t="s">
        <v>5159</v>
      </c>
      <c r="I3162" s="3">
        <v>24</v>
      </c>
      <c r="J3162" s="3" t="s">
        <v>6107</v>
      </c>
      <c r="K3162" s="17" t="str">
        <f>HYPERLINK("http://ictvonline.org/taxonomyHistory.asp?taxnode_id=20173363","ICTVonline=20173363")</f>
        <v>ICTVonline=20173363</v>
      </c>
      <c r="L3162" s="3">
        <v>3161</v>
      </c>
    </row>
    <row r="3163" spans="1:12" x14ac:dyDescent="0.15">
      <c r="A3163" s="1" t="s">
        <v>908</v>
      </c>
      <c r="B3163" s="1" t="s">
        <v>2110</v>
      </c>
      <c r="D3163" s="1" t="s">
        <v>2111</v>
      </c>
      <c r="E3163" s="1" t="s">
        <v>1866</v>
      </c>
      <c r="F3163" s="3">
        <v>0</v>
      </c>
      <c r="G3163" s="8" t="s">
        <v>3895</v>
      </c>
      <c r="H3163" s="8" t="s">
        <v>5159</v>
      </c>
      <c r="I3163" s="3">
        <v>24</v>
      </c>
      <c r="J3163" s="3" t="s">
        <v>6107</v>
      </c>
      <c r="K3163" s="17" t="str">
        <f>HYPERLINK("http://ictvonline.org/taxonomyHistory.asp?taxnode_id=20173364","ICTVonline=20173364")</f>
        <v>ICTVonline=20173364</v>
      </c>
      <c r="L3163" s="3">
        <v>3162</v>
      </c>
    </row>
    <row r="3164" spans="1:12" x14ac:dyDescent="0.15">
      <c r="A3164" s="1" t="s">
        <v>908</v>
      </c>
      <c r="B3164" s="1" t="s">
        <v>2110</v>
      </c>
      <c r="D3164" s="1" t="s">
        <v>2111</v>
      </c>
      <c r="E3164" s="1" t="s">
        <v>6155</v>
      </c>
      <c r="F3164" s="3">
        <v>0</v>
      </c>
      <c r="G3164" s="8" t="s">
        <v>3895</v>
      </c>
      <c r="H3164" s="8" t="s">
        <v>5159</v>
      </c>
      <c r="I3164" s="3">
        <v>32</v>
      </c>
      <c r="J3164" s="3" t="s">
        <v>6106</v>
      </c>
      <c r="K3164" s="17" t="str">
        <f>HYPERLINK("http://ictvonline.org/taxonomyHistory.asp?taxnode_id=20175829","ICTVonline=20175829")</f>
        <v>ICTVonline=20175829</v>
      </c>
      <c r="L3164" s="3">
        <v>3163</v>
      </c>
    </row>
    <row r="3165" spans="1:12" x14ac:dyDescent="0.15">
      <c r="A3165" s="1" t="s">
        <v>908</v>
      </c>
      <c r="B3165" s="1" t="s">
        <v>2110</v>
      </c>
      <c r="D3165" s="1" t="s">
        <v>2111</v>
      </c>
      <c r="E3165" s="1" t="s">
        <v>517</v>
      </c>
      <c r="F3165" s="3">
        <v>0</v>
      </c>
      <c r="G3165" s="8" t="s">
        <v>3895</v>
      </c>
      <c r="H3165" s="8" t="s">
        <v>5159</v>
      </c>
      <c r="I3165" s="3">
        <v>17</v>
      </c>
      <c r="J3165" s="3" t="s">
        <v>5970</v>
      </c>
      <c r="K3165" s="17" t="str">
        <f>HYPERLINK("http://ictvonline.org/taxonomyHistory.asp?taxnode_id=20173365","ICTVonline=20173365")</f>
        <v>ICTVonline=20173365</v>
      </c>
      <c r="L3165" s="3">
        <v>3164</v>
      </c>
    </row>
    <row r="3166" spans="1:12" x14ac:dyDescent="0.15">
      <c r="A3166" s="1" t="s">
        <v>908</v>
      </c>
      <c r="B3166" s="1" t="s">
        <v>2110</v>
      </c>
      <c r="D3166" s="1" t="s">
        <v>2111</v>
      </c>
      <c r="E3166" s="1" t="s">
        <v>518</v>
      </c>
      <c r="F3166" s="3">
        <v>0</v>
      </c>
      <c r="G3166" s="8" t="s">
        <v>3895</v>
      </c>
      <c r="H3166" s="8" t="s">
        <v>5159</v>
      </c>
      <c r="I3166" s="3">
        <v>24</v>
      </c>
      <c r="J3166" s="3" t="s">
        <v>6103</v>
      </c>
      <c r="K3166" s="17" t="str">
        <f>HYPERLINK("http://ictvonline.org/taxonomyHistory.asp?taxnode_id=20173366","ICTVonline=20173366")</f>
        <v>ICTVonline=20173366</v>
      </c>
      <c r="L3166" s="3">
        <v>3165</v>
      </c>
    </row>
    <row r="3167" spans="1:12" x14ac:dyDescent="0.15">
      <c r="A3167" s="1" t="s">
        <v>908</v>
      </c>
      <c r="B3167" s="1" t="s">
        <v>2110</v>
      </c>
      <c r="D3167" s="1" t="s">
        <v>2111</v>
      </c>
      <c r="E3167" s="1" t="s">
        <v>3947</v>
      </c>
      <c r="F3167" s="3">
        <v>0</v>
      </c>
      <c r="G3167" s="8" t="s">
        <v>3895</v>
      </c>
      <c r="H3167" s="8" t="s">
        <v>5159</v>
      </c>
      <c r="I3167" s="3">
        <v>30</v>
      </c>
      <c r="J3167" s="3" t="s">
        <v>6099</v>
      </c>
      <c r="K3167" s="17" t="str">
        <f>HYPERLINK("http://ictvonline.org/taxonomyHistory.asp?taxnode_id=20173367","ICTVonline=20173367")</f>
        <v>ICTVonline=20173367</v>
      </c>
      <c r="L3167" s="3">
        <v>3166</v>
      </c>
    </row>
    <row r="3168" spans="1:12" x14ac:dyDescent="0.15">
      <c r="A3168" s="1" t="s">
        <v>908</v>
      </c>
      <c r="B3168" s="1" t="s">
        <v>2110</v>
      </c>
      <c r="D3168" s="1" t="s">
        <v>2111</v>
      </c>
      <c r="E3168" s="1" t="s">
        <v>2454</v>
      </c>
      <c r="F3168" s="3">
        <v>0</v>
      </c>
      <c r="G3168" s="8" t="s">
        <v>3895</v>
      </c>
      <c r="H3168" s="8" t="s">
        <v>5159</v>
      </c>
      <c r="I3168" s="3">
        <v>28</v>
      </c>
      <c r="J3168" s="3" t="s">
        <v>6100</v>
      </c>
      <c r="K3168" s="17" t="str">
        <f>HYPERLINK("http://ictvonline.org/taxonomyHistory.asp?taxnode_id=20173368","ICTVonline=20173368")</f>
        <v>ICTVonline=20173368</v>
      </c>
      <c r="L3168" s="3">
        <v>3167</v>
      </c>
    </row>
    <row r="3169" spans="1:12" x14ac:dyDescent="0.15">
      <c r="A3169" s="1" t="s">
        <v>908</v>
      </c>
      <c r="B3169" s="1" t="s">
        <v>2110</v>
      </c>
      <c r="D3169" s="1" t="s">
        <v>2111</v>
      </c>
      <c r="E3169" s="1" t="s">
        <v>519</v>
      </c>
      <c r="F3169" s="3">
        <v>0</v>
      </c>
      <c r="G3169" s="8" t="s">
        <v>3895</v>
      </c>
      <c r="H3169" s="8" t="s">
        <v>5159</v>
      </c>
      <c r="I3169" s="3">
        <v>24</v>
      </c>
      <c r="J3169" s="3" t="s">
        <v>6103</v>
      </c>
      <c r="K3169" s="17" t="str">
        <f>HYPERLINK("http://ictvonline.org/taxonomyHistory.asp?taxnode_id=20173369","ICTVonline=20173369")</f>
        <v>ICTVonline=20173369</v>
      </c>
      <c r="L3169" s="3">
        <v>3168</v>
      </c>
    </row>
    <row r="3170" spans="1:12" x14ac:dyDescent="0.15">
      <c r="A3170" s="1" t="s">
        <v>908</v>
      </c>
      <c r="B3170" s="1" t="s">
        <v>2110</v>
      </c>
      <c r="D3170" s="1" t="s">
        <v>2111</v>
      </c>
      <c r="E3170" s="1" t="s">
        <v>3948</v>
      </c>
      <c r="F3170" s="3">
        <v>0</v>
      </c>
      <c r="G3170" s="8" t="s">
        <v>3895</v>
      </c>
      <c r="H3170" s="8" t="s">
        <v>5159</v>
      </c>
      <c r="I3170" s="3">
        <v>30</v>
      </c>
      <c r="J3170" s="3" t="s">
        <v>6099</v>
      </c>
      <c r="K3170" s="17" t="str">
        <f>HYPERLINK("http://ictvonline.org/taxonomyHistory.asp?taxnode_id=20173370","ICTVonline=20173370")</f>
        <v>ICTVonline=20173370</v>
      </c>
      <c r="L3170" s="3">
        <v>3169</v>
      </c>
    </row>
    <row r="3171" spans="1:12" x14ac:dyDescent="0.15">
      <c r="A3171" s="1" t="s">
        <v>908</v>
      </c>
      <c r="B3171" s="1" t="s">
        <v>2110</v>
      </c>
      <c r="D3171" s="1" t="s">
        <v>2111</v>
      </c>
      <c r="E3171" s="1" t="s">
        <v>520</v>
      </c>
      <c r="F3171" s="3">
        <v>0</v>
      </c>
      <c r="G3171" s="8" t="s">
        <v>3895</v>
      </c>
      <c r="H3171" s="8" t="s">
        <v>5162</v>
      </c>
      <c r="I3171" s="3">
        <v>23</v>
      </c>
      <c r="J3171" s="3" t="s">
        <v>6020</v>
      </c>
      <c r="K3171" s="17" t="str">
        <f>HYPERLINK("http://ictvonline.org/taxonomyHistory.asp?taxnode_id=20173371","ICTVonline=20173371")</f>
        <v>ICTVonline=20173371</v>
      </c>
      <c r="L3171" s="3">
        <v>3170</v>
      </c>
    </row>
    <row r="3172" spans="1:12" x14ac:dyDescent="0.15">
      <c r="A3172" s="1" t="s">
        <v>908</v>
      </c>
      <c r="B3172" s="1" t="s">
        <v>2110</v>
      </c>
      <c r="D3172" s="1" t="s">
        <v>2111</v>
      </c>
      <c r="E3172" s="1" t="s">
        <v>521</v>
      </c>
      <c r="F3172" s="3">
        <v>0</v>
      </c>
      <c r="G3172" s="8" t="s">
        <v>3895</v>
      </c>
      <c r="H3172" s="8" t="s">
        <v>5159</v>
      </c>
      <c r="I3172" s="3">
        <v>23</v>
      </c>
      <c r="J3172" s="3" t="s">
        <v>6020</v>
      </c>
      <c r="K3172" s="17" t="str">
        <f>HYPERLINK("http://ictvonline.org/taxonomyHistory.asp?taxnode_id=20173372","ICTVonline=20173372")</f>
        <v>ICTVonline=20173372</v>
      </c>
      <c r="L3172" s="3">
        <v>3171</v>
      </c>
    </row>
    <row r="3173" spans="1:12" x14ac:dyDescent="0.15">
      <c r="A3173" s="1" t="s">
        <v>908</v>
      </c>
      <c r="B3173" s="1" t="s">
        <v>2110</v>
      </c>
      <c r="D3173" s="1" t="s">
        <v>2111</v>
      </c>
      <c r="E3173" s="1" t="s">
        <v>522</v>
      </c>
      <c r="F3173" s="3">
        <v>0</v>
      </c>
      <c r="G3173" s="8" t="s">
        <v>3895</v>
      </c>
      <c r="H3173" s="8" t="s">
        <v>5161</v>
      </c>
      <c r="I3173" s="3">
        <v>16</v>
      </c>
      <c r="J3173" s="3" t="s">
        <v>6032</v>
      </c>
      <c r="K3173" s="17" t="str">
        <f>HYPERLINK("http://ictvonline.org/taxonomyHistory.asp?taxnode_id=20173373","ICTVonline=20173373")</f>
        <v>ICTVonline=20173373</v>
      </c>
      <c r="L3173" s="3">
        <v>3172</v>
      </c>
    </row>
    <row r="3174" spans="1:12" x14ac:dyDescent="0.15">
      <c r="A3174" s="1" t="s">
        <v>908</v>
      </c>
      <c r="B3174" s="1" t="s">
        <v>2110</v>
      </c>
      <c r="D3174" s="1" t="s">
        <v>2111</v>
      </c>
      <c r="E3174" s="1" t="s">
        <v>523</v>
      </c>
      <c r="F3174" s="3">
        <v>0</v>
      </c>
      <c r="G3174" s="8" t="s">
        <v>3895</v>
      </c>
      <c r="H3174" s="8" t="s">
        <v>5159</v>
      </c>
      <c r="I3174" s="3">
        <v>22</v>
      </c>
      <c r="J3174" s="3" t="s">
        <v>6101</v>
      </c>
      <c r="K3174" s="17" t="str">
        <f>HYPERLINK("http://ictvonline.org/taxonomyHistory.asp?taxnode_id=20173374","ICTVonline=20173374")</f>
        <v>ICTVonline=20173374</v>
      </c>
      <c r="L3174" s="3">
        <v>3173</v>
      </c>
    </row>
    <row r="3175" spans="1:12" x14ac:dyDescent="0.15">
      <c r="A3175" s="1" t="s">
        <v>908</v>
      </c>
      <c r="B3175" s="1" t="s">
        <v>2110</v>
      </c>
      <c r="D3175" s="1" t="s">
        <v>2111</v>
      </c>
      <c r="E3175" s="1" t="s">
        <v>524</v>
      </c>
      <c r="F3175" s="3">
        <v>0</v>
      </c>
      <c r="G3175" s="8" t="s">
        <v>3895</v>
      </c>
      <c r="H3175" s="8" t="s">
        <v>5159</v>
      </c>
      <c r="I3175" s="3">
        <v>22</v>
      </c>
      <c r="J3175" s="3" t="s">
        <v>6101</v>
      </c>
      <c r="K3175" s="17" t="str">
        <f>HYPERLINK("http://ictvonline.org/taxonomyHistory.asp?taxnode_id=20173375","ICTVonline=20173375")</f>
        <v>ICTVonline=20173375</v>
      </c>
      <c r="L3175" s="3">
        <v>3174</v>
      </c>
    </row>
    <row r="3176" spans="1:12" x14ac:dyDescent="0.15">
      <c r="A3176" s="1" t="s">
        <v>908</v>
      </c>
      <c r="B3176" s="1" t="s">
        <v>2110</v>
      </c>
      <c r="D3176" s="1" t="s">
        <v>2111</v>
      </c>
      <c r="E3176" s="1" t="s">
        <v>525</v>
      </c>
      <c r="F3176" s="3">
        <v>0</v>
      </c>
      <c r="G3176" s="8" t="s">
        <v>3895</v>
      </c>
      <c r="H3176" s="8" t="s">
        <v>5159</v>
      </c>
      <c r="I3176" s="3">
        <v>22</v>
      </c>
      <c r="J3176" s="3" t="s">
        <v>6101</v>
      </c>
      <c r="K3176" s="17" t="str">
        <f>HYPERLINK("http://ictvonline.org/taxonomyHistory.asp?taxnode_id=20173376","ICTVonline=20173376")</f>
        <v>ICTVonline=20173376</v>
      </c>
      <c r="L3176" s="3">
        <v>3175</v>
      </c>
    </row>
    <row r="3177" spans="1:12" x14ac:dyDescent="0.15">
      <c r="A3177" s="1" t="s">
        <v>908</v>
      </c>
      <c r="B3177" s="1" t="s">
        <v>2110</v>
      </c>
      <c r="D3177" s="1" t="s">
        <v>2111</v>
      </c>
      <c r="E3177" s="1" t="s">
        <v>526</v>
      </c>
      <c r="F3177" s="3">
        <v>0</v>
      </c>
      <c r="G3177" s="8" t="s">
        <v>3895</v>
      </c>
      <c r="H3177" s="8" t="s">
        <v>5159</v>
      </c>
      <c r="I3177" s="3">
        <v>22</v>
      </c>
      <c r="J3177" s="3" t="s">
        <v>6101</v>
      </c>
      <c r="K3177" s="17" t="str">
        <f>HYPERLINK("http://ictvonline.org/taxonomyHistory.asp?taxnode_id=20173377","ICTVonline=20173377")</f>
        <v>ICTVonline=20173377</v>
      </c>
      <c r="L3177" s="3">
        <v>3176</v>
      </c>
    </row>
    <row r="3178" spans="1:12" x14ac:dyDescent="0.15">
      <c r="A3178" s="1" t="s">
        <v>908</v>
      </c>
      <c r="B3178" s="1" t="s">
        <v>2110</v>
      </c>
      <c r="D3178" s="1" t="s">
        <v>2111</v>
      </c>
      <c r="E3178" s="1" t="s">
        <v>3949</v>
      </c>
      <c r="F3178" s="3">
        <v>0</v>
      </c>
      <c r="G3178" s="8" t="s">
        <v>3895</v>
      </c>
      <c r="H3178" s="8" t="s">
        <v>5159</v>
      </c>
      <c r="I3178" s="3">
        <v>30</v>
      </c>
      <c r="J3178" s="3" t="s">
        <v>6099</v>
      </c>
      <c r="K3178" s="17" t="str">
        <f>HYPERLINK("http://ictvonline.org/taxonomyHistory.asp?taxnode_id=20173378","ICTVonline=20173378")</f>
        <v>ICTVonline=20173378</v>
      </c>
      <c r="L3178" s="3">
        <v>3177</v>
      </c>
    </row>
    <row r="3179" spans="1:12" x14ac:dyDescent="0.15">
      <c r="A3179" s="1" t="s">
        <v>908</v>
      </c>
      <c r="B3179" s="1" t="s">
        <v>2110</v>
      </c>
      <c r="D3179" s="1" t="s">
        <v>2111</v>
      </c>
      <c r="E3179" s="1" t="s">
        <v>6156</v>
      </c>
      <c r="F3179" s="3">
        <v>0</v>
      </c>
      <c r="G3179" s="8" t="s">
        <v>3895</v>
      </c>
      <c r="H3179" s="8" t="s">
        <v>5159</v>
      </c>
      <c r="I3179" s="3">
        <v>32</v>
      </c>
      <c r="J3179" s="3" t="s">
        <v>6106</v>
      </c>
      <c r="K3179" s="17" t="str">
        <f>HYPERLINK("http://ictvonline.org/taxonomyHistory.asp?taxnode_id=20175830","ICTVonline=20175830")</f>
        <v>ICTVonline=20175830</v>
      </c>
      <c r="L3179" s="3">
        <v>3178</v>
      </c>
    </row>
    <row r="3180" spans="1:12" x14ac:dyDescent="0.15">
      <c r="A3180" s="1" t="s">
        <v>908</v>
      </c>
      <c r="B3180" s="1" t="s">
        <v>2110</v>
      </c>
      <c r="D3180" s="1" t="s">
        <v>2111</v>
      </c>
      <c r="E3180" s="1" t="s">
        <v>527</v>
      </c>
      <c r="F3180" s="3">
        <v>0</v>
      </c>
      <c r="G3180" s="8" t="s">
        <v>3895</v>
      </c>
      <c r="H3180" s="8" t="s">
        <v>5159</v>
      </c>
      <c r="I3180" s="3">
        <v>24</v>
      </c>
      <c r="J3180" s="3" t="s">
        <v>6103</v>
      </c>
      <c r="K3180" s="17" t="str">
        <f>HYPERLINK("http://ictvonline.org/taxonomyHistory.asp?taxnode_id=20173379","ICTVonline=20173379")</f>
        <v>ICTVonline=20173379</v>
      </c>
      <c r="L3180" s="3">
        <v>3179</v>
      </c>
    </row>
    <row r="3181" spans="1:12" x14ac:dyDescent="0.15">
      <c r="A3181" s="1" t="s">
        <v>908</v>
      </c>
      <c r="B3181" s="1" t="s">
        <v>2110</v>
      </c>
      <c r="D3181" s="1" t="s">
        <v>2111</v>
      </c>
      <c r="E3181" s="1" t="s">
        <v>528</v>
      </c>
      <c r="F3181" s="3">
        <v>0</v>
      </c>
      <c r="G3181" s="8" t="s">
        <v>3895</v>
      </c>
      <c r="H3181" s="8" t="s">
        <v>5159</v>
      </c>
      <c r="I3181" s="3">
        <v>24</v>
      </c>
      <c r="J3181" s="3" t="s">
        <v>6103</v>
      </c>
      <c r="K3181" s="17" t="str">
        <f>HYPERLINK("http://ictvonline.org/taxonomyHistory.asp?taxnode_id=20173380","ICTVonline=20173380")</f>
        <v>ICTVonline=20173380</v>
      </c>
      <c r="L3181" s="3">
        <v>3180</v>
      </c>
    </row>
    <row r="3182" spans="1:12" x14ac:dyDescent="0.15">
      <c r="A3182" s="1" t="s">
        <v>908</v>
      </c>
      <c r="B3182" s="1" t="s">
        <v>2110</v>
      </c>
      <c r="D3182" s="1" t="s">
        <v>2111</v>
      </c>
      <c r="E3182" s="1" t="s">
        <v>529</v>
      </c>
      <c r="F3182" s="3">
        <v>0</v>
      </c>
      <c r="G3182" s="8" t="s">
        <v>3895</v>
      </c>
      <c r="H3182" s="8" t="s">
        <v>5159</v>
      </c>
      <c r="I3182" s="3">
        <v>23</v>
      </c>
      <c r="J3182" s="3" t="s">
        <v>6020</v>
      </c>
      <c r="K3182" s="17" t="str">
        <f>HYPERLINK("http://ictvonline.org/taxonomyHistory.asp?taxnode_id=20173381","ICTVonline=20173381")</f>
        <v>ICTVonline=20173381</v>
      </c>
      <c r="L3182" s="3">
        <v>3181</v>
      </c>
    </row>
    <row r="3183" spans="1:12" x14ac:dyDescent="0.15">
      <c r="A3183" s="1" t="s">
        <v>908</v>
      </c>
      <c r="B3183" s="1" t="s">
        <v>2110</v>
      </c>
      <c r="D3183" s="1" t="s">
        <v>2111</v>
      </c>
      <c r="E3183" s="1" t="s">
        <v>6157</v>
      </c>
      <c r="F3183" s="3">
        <v>0</v>
      </c>
      <c r="G3183" s="8" t="s">
        <v>3895</v>
      </c>
      <c r="H3183" s="8" t="s">
        <v>5159</v>
      </c>
      <c r="I3183" s="3">
        <v>32</v>
      </c>
      <c r="J3183" s="3" t="s">
        <v>6106</v>
      </c>
      <c r="K3183" s="17" t="str">
        <f>HYPERLINK("http://ictvonline.org/taxonomyHistory.asp?taxnode_id=20175831","ICTVonline=20175831")</f>
        <v>ICTVonline=20175831</v>
      </c>
      <c r="L3183" s="3">
        <v>3182</v>
      </c>
    </row>
    <row r="3184" spans="1:12" x14ac:dyDescent="0.15">
      <c r="A3184" s="1" t="s">
        <v>908</v>
      </c>
      <c r="B3184" s="1" t="s">
        <v>2110</v>
      </c>
      <c r="D3184" s="1" t="s">
        <v>2111</v>
      </c>
      <c r="E3184" s="1" t="s">
        <v>3950</v>
      </c>
      <c r="F3184" s="3">
        <v>0</v>
      </c>
      <c r="G3184" s="8" t="s">
        <v>3895</v>
      </c>
      <c r="H3184" s="8" t="s">
        <v>5159</v>
      </c>
      <c r="I3184" s="3">
        <v>30</v>
      </c>
      <c r="J3184" s="3" t="s">
        <v>6099</v>
      </c>
      <c r="K3184" s="17" t="str">
        <f>HYPERLINK("http://ictvonline.org/taxonomyHistory.asp?taxnode_id=20173382","ICTVonline=20173382")</f>
        <v>ICTVonline=20173382</v>
      </c>
      <c r="L3184" s="3">
        <v>3183</v>
      </c>
    </row>
    <row r="3185" spans="1:12" x14ac:dyDescent="0.15">
      <c r="A3185" s="1" t="s">
        <v>908</v>
      </c>
      <c r="B3185" s="1" t="s">
        <v>2110</v>
      </c>
      <c r="D3185" s="1" t="s">
        <v>2111</v>
      </c>
      <c r="E3185" s="1" t="s">
        <v>2455</v>
      </c>
      <c r="F3185" s="3">
        <v>0</v>
      </c>
      <c r="G3185" s="8" t="s">
        <v>3895</v>
      </c>
      <c r="H3185" s="8" t="s">
        <v>5159</v>
      </c>
      <c r="I3185" s="3">
        <v>28</v>
      </c>
      <c r="J3185" s="3" t="s">
        <v>6100</v>
      </c>
      <c r="K3185" s="17" t="str">
        <f>HYPERLINK("http://ictvonline.org/taxonomyHistory.asp?taxnode_id=20173383","ICTVonline=20173383")</f>
        <v>ICTVonline=20173383</v>
      </c>
      <c r="L3185" s="3">
        <v>3184</v>
      </c>
    </row>
    <row r="3186" spans="1:12" x14ac:dyDescent="0.15">
      <c r="A3186" s="1" t="s">
        <v>908</v>
      </c>
      <c r="B3186" s="1" t="s">
        <v>2110</v>
      </c>
      <c r="D3186" s="1" t="s">
        <v>2111</v>
      </c>
      <c r="E3186" s="1" t="s">
        <v>3951</v>
      </c>
      <c r="F3186" s="3">
        <v>0</v>
      </c>
      <c r="G3186" s="8" t="s">
        <v>3895</v>
      </c>
      <c r="H3186" s="8" t="s">
        <v>5159</v>
      </c>
      <c r="I3186" s="3">
        <v>30</v>
      </c>
      <c r="J3186" s="3" t="s">
        <v>6099</v>
      </c>
      <c r="K3186" s="17" t="str">
        <f>HYPERLINK("http://ictvonline.org/taxonomyHistory.asp?taxnode_id=20173384","ICTVonline=20173384")</f>
        <v>ICTVonline=20173384</v>
      </c>
      <c r="L3186" s="3">
        <v>3185</v>
      </c>
    </row>
    <row r="3187" spans="1:12" x14ac:dyDescent="0.15">
      <c r="A3187" s="1" t="s">
        <v>908</v>
      </c>
      <c r="B3187" s="1" t="s">
        <v>2110</v>
      </c>
      <c r="D3187" s="1" t="s">
        <v>2111</v>
      </c>
      <c r="E3187" s="1" t="s">
        <v>3952</v>
      </c>
      <c r="F3187" s="3">
        <v>0</v>
      </c>
      <c r="G3187" s="8" t="s">
        <v>3895</v>
      </c>
      <c r="H3187" s="8" t="s">
        <v>5159</v>
      </c>
      <c r="I3187" s="3">
        <v>30</v>
      </c>
      <c r="J3187" s="3" t="s">
        <v>6099</v>
      </c>
      <c r="K3187" s="17" t="str">
        <f>HYPERLINK("http://ictvonline.org/taxonomyHistory.asp?taxnode_id=20173385","ICTVonline=20173385")</f>
        <v>ICTVonline=20173385</v>
      </c>
      <c r="L3187" s="3">
        <v>3186</v>
      </c>
    </row>
    <row r="3188" spans="1:12" x14ac:dyDescent="0.15">
      <c r="A3188" s="1" t="s">
        <v>908</v>
      </c>
      <c r="B3188" s="1" t="s">
        <v>2110</v>
      </c>
      <c r="D3188" s="1" t="s">
        <v>2111</v>
      </c>
      <c r="E3188" s="1" t="s">
        <v>2456</v>
      </c>
      <c r="F3188" s="3">
        <v>0</v>
      </c>
      <c r="G3188" s="8" t="s">
        <v>3895</v>
      </c>
      <c r="H3188" s="8" t="s">
        <v>5159</v>
      </c>
      <c r="I3188" s="3">
        <v>28</v>
      </c>
      <c r="J3188" s="3" t="s">
        <v>6100</v>
      </c>
      <c r="K3188" s="17" t="str">
        <f>HYPERLINK("http://ictvonline.org/taxonomyHistory.asp?taxnode_id=20173386","ICTVonline=20173386")</f>
        <v>ICTVonline=20173386</v>
      </c>
      <c r="L3188" s="3">
        <v>3187</v>
      </c>
    </row>
    <row r="3189" spans="1:12" x14ac:dyDescent="0.15">
      <c r="A3189" s="1" t="s">
        <v>908</v>
      </c>
      <c r="B3189" s="1" t="s">
        <v>2110</v>
      </c>
      <c r="D3189" s="1" t="s">
        <v>2111</v>
      </c>
      <c r="E3189" s="1" t="s">
        <v>2457</v>
      </c>
      <c r="F3189" s="3">
        <v>0</v>
      </c>
      <c r="G3189" s="8" t="s">
        <v>3895</v>
      </c>
      <c r="H3189" s="8" t="s">
        <v>5159</v>
      </c>
      <c r="I3189" s="3">
        <v>28</v>
      </c>
      <c r="J3189" s="3" t="s">
        <v>6100</v>
      </c>
      <c r="K3189" s="17" t="str">
        <f>HYPERLINK("http://ictvonline.org/taxonomyHistory.asp?taxnode_id=20173387","ICTVonline=20173387")</f>
        <v>ICTVonline=20173387</v>
      </c>
      <c r="L3189" s="3">
        <v>3188</v>
      </c>
    </row>
    <row r="3190" spans="1:12" x14ac:dyDescent="0.15">
      <c r="A3190" s="1" t="s">
        <v>908</v>
      </c>
      <c r="B3190" s="1" t="s">
        <v>2110</v>
      </c>
      <c r="D3190" s="1" t="s">
        <v>2111</v>
      </c>
      <c r="E3190" s="1" t="s">
        <v>530</v>
      </c>
      <c r="F3190" s="3">
        <v>0</v>
      </c>
      <c r="G3190" s="8" t="s">
        <v>3895</v>
      </c>
      <c r="H3190" s="8" t="s">
        <v>5168</v>
      </c>
      <c r="I3190" s="3">
        <v>28</v>
      </c>
      <c r="J3190" s="3" t="s">
        <v>6100</v>
      </c>
      <c r="K3190" s="17" t="str">
        <f>HYPERLINK("http://ictvonline.org/taxonomyHistory.asp?taxnode_id=20173388","ICTVonline=20173388")</f>
        <v>ICTVonline=20173388</v>
      </c>
      <c r="L3190" s="3">
        <v>3189</v>
      </c>
    </row>
    <row r="3191" spans="1:12" x14ac:dyDescent="0.15">
      <c r="A3191" s="1" t="s">
        <v>908</v>
      </c>
      <c r="B3191" s="1" t="s">
        <v>2110</v>
      </c>
      <c r="D3191" s="1" t="s">
        <v>2111</v>
      </c>
      <c r="E3191" s="1" t="s">
        <v>2458</v>
      </c>
      <c r="F3191" s="3">
        <v>0</v>
      </c>
      <c r="G3191" s="8" t="s">
        <v>3895</v>
      </c>
      <c r="H3191" s="8" t="s">
        <v>5159</v>
      </c>
      <c r="I3191" s="3">
        <v>28</v>
      </c>
      <c r="J3191" s="3" t="s">
        <v>6100</v>
      </c>
      <c r="K3191" s="17" t="str">
        <f>HYPERLINK("http://ictvonline.org/taxonomyHistory.asp?taxnode_id=20173389","ICTVonline=20173389")</f>
        <v>ICTVonline=20173389</v>
      </c>
      <c r="L3191" s="3">
        <v>3190</v>
      </c>
    </row>
    <row r="3192" spans="1:12" x14ac:dyDescent="0.15">
      <c r="A3192" s="1" t="s">
        <v>908</v>
      </c>
      <c r="B3192" s="1" t="s">
        <v>2110</v>
      </c>
      <c r="D3192" s="1" t="s">
        <v>2111</v>
      </c>
      <c r="E3192" s="1" t="s">
        <v>6158</v>
      </c>
      <c r="F3192" s="3">
        <v>0</v>
      </c>
      <c r="G3192" s="8" t="s">
        <v>3895</v>
      </c>
      <c r="H3192" s="8" t="s">
        <v>5159</v>
      </c>
      <c r="I3192" s="3">
        <v>32</v>
      </c>
      <c r="J3192" s="3" t="s">
        <v>6106</v>
      </c>
      <c r="K3192" s="17" t="str">
        <f>HYPERLINK("http://ictvonline.org/taxonomyHistory.asp?taxnode_id=20175832","ICTVonline=20175832")</f>
        <v>ICTVonline=20175832</v>
      </c>
      <c r="L3192" s="3">
        <v>3191</v>
      </c>
    </row>
    <row r="3193" spans="1:12" x14ac:dyDescent="0.15">
      <c r="A3193" s="1" t="s">
        <v>908</v>
      </c>
      <c r="B3193" s="1" t="s">
        <v>2110</v>
      </c>
      <c r="D3193" s="1" t="s">
        <v>2111</v>
      </c>
      <c r="E3193" s="1" t="s">
        <v>6159</v>
      </c>
      <c r="F3193" s="3">
        <v>0</v>
      </c>
      <c r="G3193" s="8" t="s">
        <v>3895</v>
      </c>
      <c r="H3193" s="8" t="s">
        <v>5159</v>
      </c>
      <c r="I3193" s="3">
        <v>32</v>
      </c>
      <c r="J3193" s="3" t="s">
        <v>6106</v>
      </c>
      <c r="K3193" s="17" t="str">
        <f>HYPERLINK("http://ictvonline.org/taxonomyHistory.asp?taxnode_id=20175833","ICTVonline=20175833")</f>
        <v>ICTVonline=20175833</v>
      </c>
      <c r="L3193" s="3">
        <v>3192</v>
      </c>
    </row>
    <row r="3194" spans="1:12" x14ac:dyDescent="0.15">
      <c r="A3194" s="1" t="s">
        <v>908</v>
      </c>
      <c r="B3194" s="1" t="s">
        <v>2110</v>
      </c>
      <c r="D3194" s="1" t="s">
        <v>2111</v>
      </c>
      <c r="E3194" s="1" t="s">
        <v>531</v>
      </c>
      <c r="F3194" s="3">
        <v>0</v>
      </c>
      <c r="G3194" s="8" t="s">
        <v>3895</v>
      </c>
      <c r="H3194" s="8" t="s">
        <v>5159</v>
      </c>
      <c r="I3194" s="3">
        <v>22</v>
      </c>
      <c r="J3194" s="3" t="s">
        <v>6101</v>
      </c>
      <c r="K3194" s="17" t="str">
        <f>HYPERLINK("http://ictvonline.org/taxonomyHistory.asp?taxnode_id=20173390","ICTVonline=20173390")</f>
        <v>ICTVonline=20173390</v>
      </c>
      <c r="L3194" s="3">
        <v>3193</v>
      </c>
    </row>
    <row r="3195" spans="1:12" x14ac:dyDescent="0.15">
      <c r="A3195" s="1" t="s">
        <v>908</v>
      </c>
      <c r="B3195" s="1" t="s">
        <v>2110</v>
      </c>
      <c r="D3195" s="1" t="s">
        <v>2111</v>
      </c>
      <c r="E3195" s="1" t="s">
        <v>3953</v>
      </c>
      <c r="F3195" s="3">
        <v>0</v>
      </c>
      <c r="G3195" s="8" t="s">
        <v>3895</v>
      </c>
      <c r="H3195" s="8" t="s">
        <v>5159</v>
      </c>
      <c r="I3195" s="3">
        <v>30</v>
      </c>
      <c r="J3195" s="3" t="s">
        <v>6099</v>
      </c>
      <c r="K3195" s="17" t="str">
        <f>HYPERLINK("http://ictvonline.org/taxonomyHistory.asp?taxnode_id=20173391","ICTVonline=20173391")</f>
        <v>ICTVonline=20173391</v>
      </c>
      <c r="L3195" s="3">
        <v>3194</v>
      </c>
    </row>
    <row r="3196" spans="1:12" x14ac:dyDescent="0.15">
      <c r="A3196" s="1" t="s">
        <v>908</v>
      </c>
      <c r="B3196" s="1" t="s">
        <v>2110</v>
      </c>
      <c r="D3196" s="1" t="s">
        <v>2111</v>
      </c>
      <c r="E3196" s="1" t="s">
        <v>1625</v>
      </c>
      <c r="F3196" s="3">
        <v>0</v>
      </c>
      <c r="G3196" s="8" t="s">
        <v>3895</v>
      </c>
      <c r="H3196" s="8" t="s">
        <v>5159</v>
      </c>
      <c r="I3196" s="3">
        <v>24</v>
      </c>
      <c r="J3196" s="3" t="s">
        <v>6107</v>
      </c>
      <c r="K3196" s="17" t="str">
        <f>HYPERLINK("http://ictvonline.org/taxonomyHistory.asp?taxnode_id=20173392","ICTVonline=20173392")</f>
        <v>ICTVonline=20173392</v>
      </c>
      <c r="L3196" s="3">
        <v>3195</v>
      </c>
    </row>
    <row r="3197" spans="1:12" x14ac:dyDescent="0.15">
      <c r="A3197" s="1" t="s">
        <v>908</v>
      </c>
      <c r="B3197" s="1" t="s">
        <v>2110</v>
      </c>
      <c r="D3197" s="1" t="s">
        <v>2111</v>
      </c>
      <c r="E3197" s="1" t="s">
        <v>1626</v>
      </c>
      <c r="F3197" s="3">
        <v>0</v>
      </c>
      <c r="G3197" s="8" t="s">
        <v>3895</v>
      </c>
      <c r="H3197" s="8" t="s">
        <v>5159</v>
      </c>
      <c r="I3197" s="3">
        <v>22</v>
      </c>
      <c r="J3197" s="3" t="s">
        <v>6101</v>
      </c>
      <c r="K3197" s="17" t="str">
        <f>HYPERLINK("http://ictvonline.org/taxonomyHistory.asp?taxnode_id=20173393","ICTVonline=20173393")</f>
        <v>ICTVonline=20173393</v>
      </c>
      <c r="L3197" s="3">
        <v>3196</v>
      </c>
    </row>
    <row r="3198" spans="1:12" x14ac:dyDescent="0.15">
      <c r="A3198" s="1" t="s">
        <v>908</v>
      </c>
      <c r="B3198" s="1" t="s">
        <v>2110</v>
      </c>
      <c r="D3198" s="1" t="s">
        <v>2111</v>
      </c>
      <c r="E3198" s="1" t="s">
        <v>2459</v>
      </c>
      <c r="F3198" s="3">
        <v>0</v>
      </c>
      <c r="G3198" s="8" t="s">
        <v>3895</v>
      </c>
      <c r="H3198" s="8" t="s">
        <v>5159</v>
      </c>
      <c r="I3198" s="3">
        <v>28</v>
      </c>
      <c r="J3198" s="3" t="s">
        <v>6100</v>
      </c>
      <c r="K3198" s="17" t="str">
        <f>HYPERLINK("http://ictvonline.org/taxonomyHistory.asp?taxnode_id=20173394","ICTVonline=20173394")</f>
        <v>ICTVonline=20173394</v>
      </c>
      <c r="L3198" s="3">
        <v>3197</v>
      </c>
    </row>
    <row r="3199" spans="1:12" x14ac:dyDescent="0.15">
      <c r="A3199" s="1" t="s">
        <v>908</v>
      </c>
      <c r="B3199" s="1" t="s">
        <v>2110</v>
      </c>
      <c r="D3199" s="1" t="s">
        <v>2111</v>
      </c>
      <c r="E3199" s="1" t="s">
        <v>2460</v>
      </c>
      <c r="F3199" s="3">
        <v>0</v>
      </c>
      <c r="G3199" s="8" t="s">
        <v>3895</v>
      </c>
      <c r="H3199" s="8" t="s">
        <v>5159</v>
      </c>
      <c r="I3199" s="3">
        <v>28</v>
      </c>
      <c r="J3199" s="3" t="s">
        <v>6100</v>
      </c>
      <c r="K3199" s="17" t="str">
        <f>HYPERLINK("http://ictvonline.org/taxonomyHistory.asp?taxnode_id=20173395","ICTVonline=20173395")</f>
        <v>ICTVonline=20173395</v>
      </c>
      <c r="L3199" s="3">
        <v>3198</v>
      </c>
    </row>
    <row r="3200" spans="1:12" x14ac:dyDescent="0.15">
      <c r="A3200" s="1" t="s">
        <v>908</v>
      </c>
      <c r="B3200" s="1" t="s">
        <v>2110</v>
      </c>
      <c r="D3200" s="1" t="s">
        <v>2111</v>
      </c>
      <c r="E3200" s="1" t="s">
        <v>1627</v>
      </c>
      <c r="F3200" s="3">
        <v>0</v>
      </c>
      <c r="G3200" s="8" t="s">
        <v>3895</v>
      </c>
      <c r="H3200" s="8" t="s">
        <v>5159</v>
      </c>
      <c r="I3200" s="3">
        <v>22</v>
      </c>
      <c r="J3200" s="3" t="s">
        <v>6101</v>
      </c>
      <c r="K3200" s="17" t="str">
        <f>HYPERLINK("http://ictvonline.org/taxonomyHistory.asp?taxnode_id=20173396","ICTVonline=20173396")</f>
        <v>ICTVonline=20173396</v>
      </c>
      <c r="L3200" s="3">
        <v>3199</v>
      </c>
    </row>
    <row r="3201" spans="1:12" x14ac:dyDescent="0.15">
      <c r="A3201" s="1" t="s">
        <v>908</v>
      </c>
      <c r="B3201" s="1" t="s">
        <v>2110</v>
      </c>
      <c r="D3201" s="1" t="s">
        <v>2111</v>
      </c>
      <c r="E3201" s="1" t="s">
        <v>1628</v>
      </c>
      <c r="F3201" s="3">
        <v>0</v>
      </c>
      <c r="G3201" s="8" t="s">
        <v>3895</v>
      </c>
      <c r="H3201" s="8" t="s">
        <v>5159</v>
      </c>
      <c r="I3201" s="3">
        <v>23</v>
      </c>
      <c r="J3201" s="3" t="s">
        <v>6020</v>
      </c>
      <c r="K3201" s="17" t="str">
        <f>HYPERLINK("http://ictvonline.org/taxonomyHistory.asp?taxnode_id=20173397","ICTVonline=20173397")</f>
        <v>ICTVonline=20173397</v>
      </c>
      <c r="L3201" s="3">
        <v>3200</v>
      </c>
    </row>
    <row r="3202" spans="1:12" x14ac:dyDescent="0.15">
      <c r="A3202" s="1" t="s">
        <v>908</v>
      </c>
      <c r="B3202" s="1" t="s">
        <v>2110</v>
      </c>
      <c r="D3202" s="1" t="s">
        <v>2111</v>
      </c>
      <c r="E3202" s="1" t="s">
        <v>2461</v>
      </c>
      <c r="F3202" s="3">
        <v>0</v>
      </c>
      <c r="G3202" s="8" t="s">
        <v>3895</v>
      </c>
      <c r="H3202" s="8" t="s">
        <v>5159</v>
      </c>
      <c r="I3202" s="3">
        <v>28</v>
      </c>
      <c r="J3202" s="3" t="s">
        <v>6100</v>
      </c>
      <c r="K3202" s="17" t="str">
        <f>HYPERLINK("http://ictvonline.org/taxonomyHistory.asp?taxnode_id=20173398","ICTVonline=20173398")</f>
        <v>ICTVonline=20173398</v>
      </c>
      <c r="L3202" s="3">
        <v>3201</v>
      </c>
    </row>
    <row r="3203" spans="1:12" x14ac:dyDescent="0.15">
      <c r="A3203" s="1" t="s">
        <v>908</v>
      </c>
      <c r="B3203" s="1" t="s">
        <v>2110</v>
      </c>
      <c r="D3203" s="1" t="s">
        <v>2111</v>
      </c>
      <c r="E3203" s="1" t="s">
        <v>2462</v>
      </c>
      <c r="F3203" s="3">
        <v>0</v>
      </c>
      <c r="G3203" s="8" t="s">
        <v>3895</v>
      </c>
      <c r="H3203" s="8" t="s">
        <v>5159</v>
      </c>
      <c r="I3203" s="3">
        <v>28</v>
      </c>
      <c r="J3203" s="3" t="s">
        <v>6100</v>
      </c>
      <c r="K3203" s="17" t="str">
        <f>HYPERLINK("http://ictvonline.org/taxonomyHistory.asp?taxnode_id=20173399","ICTVonline=20173399")</f>
        <v>ICTVonline=20173399</v>
      </c>
      <c r="L3203" s="3">
        <v>3202</v>
      </c>
    </row>
    <row r="3204" spans="1:12" x14ac:dyDescent="0.15">
      <c r="A3204" s="1" t="s">
        <v>908</v>
      </c>
      <c r="B3204" s="1" t="s">
        <v>2110</v>
      </c>
      <c r="D3204" s="1" t="s">
        <v>2111</v>
      </c>
      <c r="E3204" s="1" t="s">
        <v>2463</v>
      </c>
      <c r="F3204" s="3">
        <v>0</v>
      </c>
      <c r="G3204" s="8" t="s">
        <v>3895</v>
      </c>
      <c r="H3204" s="8" t="s">
        <v>5159</v>
      </c>
      <c r="I3204" s="3">
        <v>28</v>
      </c>
      <c r="J3204" s="3" t="s">
        <v>6100</v>
      </c>
      <c r="K3204" s="17" t="str">
        <f>HYPERLINK("http://ictvonline.org/taxonomyHistory.asp?taxnode_id=20173400","ICTVonline=20173400")</f>
        <v>ICTVonline=20173400</v>
      </c>
      <c r="L3204" s="3">
        <v>3203</v>
      </c>
    </row>
    <row r="3205" spans="1:12" x14ac:dyDescent="0.15">
      <c r="A3205" s="1" t="s">
        <v>908</v>
      </c>
      <c r="B3205" s="1" t="s">
        <v>2110</v>
      </c>
      <c r="D3205" s="1" t="s">
        <v>2111</v>
      </c>
      <c r="E3205" s="1" t="s">
        <v>3954</v>
      </c>
      <c r="F3205" s="3">
        <v>0</v>
      </c>
      <c r="G3205" s="8" t="s">
        <v>3895</v>
      </c>
      <c r="H3205" s="8" t="s">
        <v>5159</v>
      </c>
      <c r="I3205" s="3">
        <v>30</v>
      </c>
      <c r="J3205" s="3" t="s">
        <v>6099</v>
      </c>
      <c r="K3205" s="17" t="str">
        <f>HYPERLINK("http://ictvonline.org/taxonomyHistory.asp?taxnode_id=20173401","ICTVonline=20173401")</f>
        <v>ICTVonline=20173401</v>
      </c>
      <c r="L3205" s="3">
        <v>3204</v>
      </c>
    </row>
    <row r="3206" spans="1:12" x14ac:dyDescent="0.15">
      <c r="A3206" s="1" t="s">
        <v>908</v>
      </c>
      <c r="B3206" s="1" t="s">
        <v>2110</v>
      </c>
      <c r="D3206" s="1" t="s">
        <v>2111</v>
      </c>
      <c r="E3206" s="1" t="s">
        <v>3955</v>
      </c>
      <c r="F3206" s="3">
        <v>0</v>
      </c>
      <c r="G3206" s="8" t="s">
        <v>3895</v>
      </c>
      <c r="H3206" s="8" t="s">
        <v>5159</v>
      </c>
      <c r="I3206" s="3">
        <v>30</v>
      </c>
      <c r="J3206" s="3" t="s">
        <v>6099</v>
      </c>
      <c r="K3206" s="17" t="str">
        <f>HYPERLINK("http://ictvonline.org/taxonomyHistory.asp?taxnode_id=20173402","ICTVonline=20173402")</f>
        <v>ICTVonline=20173402</v>
      </c>
      <c r="L3206" s="3">
        <v>3205</v>
      </c>
    </row>
    <row r="3207" spans="1:12" x14ac:dyDescent="0.15">
      <c r="A3207" s="1" t="s">
        <v>908</v>
      </c>
      <c r="B3207" s="1" t="s">
        <v>2110</v>
      </c>
      <c r="D3207" s="1" t="s">
        <v>2111</v>
      </c>
      <c r="E3207" s="1" t="s">
        <v>1832</v>
      </c>
      <c r="F3207" s="3">
        <v>0</v>
      </c>
      <c r="G3207" s="8" t="s">
        <v>3895</v>
      </c>
      <c r="H3207" s="8" t="s">
        <v>5159</v>
      </c>
      <c r="I3207" s="3">
        <v>23</v>
      </c>
      <c r="J3207" s="3" t="s">
        <v>6020</v>
      </c>
      <c r="K3207" s="17" t="str">
        <f>HYPERLINK("http://ictvonline.org/taxonomyHistory.asp?taxnode_id=20173403","ICTVonline=20173403")</f>
        <v>ICTVonline=20173403</v>
      </c>
      <c r="L3207" s="3">
        <v>3206</v>
      </c>
    </row>
    <row r="3208" spans="1:12" x14ac:dyDescent="0.15">
      <c r="A3208" s="1" t="s">
        <v>908</v>
      </c>
      <c r="B3208" s="1" t="s">
        <v>2110</v>
      </c>
      <c r="D3208" s="1" t="s">
        <v>2111</v>
      </c>
      <c r="E3208" s="1" t="s">
        <v>2464</v>
      </c>
      <c r="F3208" s="3">
        <v>0</v>
      </c>
      <c r="G3208" s="8" t="s">
        <v>3895</v>
      </c>
      <c r="H3208" s="8" t="s">
        <v>5159</v>
      </c>
      <c r="I3208" s="3">
        <v>28</v>
      </c>
      <c r="J3208" s="3" t="s">
        <v>6100</v>
      </c>
      <c r="K3208" s="17" t="str">
        <f>HYPERLINK("http://ictvonline.org/taxonomyHistory.asp?taxnode_id=20173404","ICTVonline=20173404")</f>
        <v>ICTVonline=20173404</v>
      </c>
      <c r="L3208" s="3">
        <v>3207</v>
      </c>
    </row>
    <row r="3209" spans="1:12" x14ac:dyDescent="0.15">
      <c r="A3209" s="1" t="s">
        <v>908</v>
      </c>
      <c r="B3209" s="1" t="s">
        <v>2110</v>
      </c>
      <c r="D3209" s="1" t="s">
        <v>2111</v>
      </c>
      <c r="E3209" s="1" t="s">
        <v>6160</v>
      </c>
      <c r="F3209" s="3">
        <v>0</v>
      </c>
      <c r="G3209" s="8" t="s">
        <v>3895</v>
      </c>
      <c r="H3209" s="8" t="s">
        <v>5159</v>
      </c>
      <c r="I3209" s="3">
        <v>32</v>
      </c>
      <c r="J3209" s="3" t="s">
        <v>6106</v>
      </c>
      <c r="K3209" s="17" t="str">
        <f>HYPERLINK("http://ictvonline.org/taxonomyHistory.asp?taxnode_id=20175834","ICTVonline=20175834")</f>
        <v>ICTVonline=20175834</v>
      </c>
      <c r="L3209" s="3">
        <v>3208</v>
      </c>
    </row>
    <row r="3210" spans="1:12" x14ac:dyDescent="0.15">
      <c r="A3210" s="1" t="s">
        <v>908</v>
      </c>
      <c r="B3210" s="1" t="s">
        <v>2110</v>
      </c>
      <c r="D3210" s="1" t="s">
        <v>2111</v>
      </c>
      <c r="E3210" s="1" t="s">
        <v>1833</v>
      </c>
      <c r="F3210" s="3">
        <v>0</v>
      </c>
      <c r="G3210" s="8" t="s">
        <v>3895</v>
      </c>
      <c r="H3210" s="8" t="s">
        <v>5159</v>
      </c>
      <c r="I3210" s="3">
        <v>22</v>
      </c>
      <c r="J3210" s="3" t="s">
        <v>6101</v>
      </c>
      <c r="K3210" s="17" t="str">
        <f>HYPERLINK("http://ictvonline.org/taxonomyHistory.asp?taxnode_id=20173405","ICTVonline=20173405")</f>
        <v>ICTVonline=20173405</v>
      </c>
      <c r="L3210" s="3">
        <v>3209</v>
      </c>
    </row>
    <row r="3211" spans="1:12" x14ac:dyDescent="0.15">
      <c r="A3211" s="1" t="s">
        <v>908</v>
      </c>
      <c r="B3211" s="1" t="s">
        <v>2110</v>
      </c>
      <c r="D3211" s="1" t="s">
        <v>2111</v>
      </c>
      <c r="E3211" s="1" t="s">
        <v>2465</v>
      </c>
      <c r="F3211" s="3">
        <v>0</v>
      </c>
      <c r="G3211" s="8" t="s">
        <v>3895</v>
      </c>
      <c r="H3211" s="8" t="s">
        <v>5159</v>
      </c>
      <c r="I3211" s="3">
        <v>28</v>
      </c>
      <c r="J3211" s="3" t="s">
        <v>6100</v>
      </c>
      <c r="K3211" s="17" t="str">
        <f>HYPERLINK("http://ictvonline.org/taxonomyHistory.asp?taxnode_id=20173406","ICTVonline=20173406")</f>
        <v>ICTVonline=20173406</v>
      </c>
      <c r="L3211" s="3">
        <v>3210</v>
      </c>
    </row>
    <row r="3212" spans="1:12" x14ac:dyDescent="0.15">
      <c r="A3212" s="1" t="s">
        <v>908</v>
      </c>
      <c r="B3212" s="1" t="s">
        <v>2110</v>
      </c>
      <c r="D3212" s="1" t="s">
        <v>2111</v>
      </c>
      <c r="E3212" s="1" t="s">
        <v>1834</v>
      </c>
      <c r="F3212" s="3">
        <v>0</v>
      </c>
      <c r="G3212" s="8" t="s">
        <v>3895</v>
      </c>
      <c r="H3212" s="8" t="s">
        <v>5159</v>
      </c>
      <c r="I3212" s="3">
        <v>22</v>
      </c>
      <c r="J3212" s="3" t="s">
        <v>6119</v>
      </c>
      <c r="K3212" s="17" t="str">
        <f>HYPERLINK("http://ictvonline.org/taxonomyHistory.asp?taxnode_id=20173407","ICTVonline=20173407")</f>
        <v>ICTVonline=20173407</v>
      </c>
      <c r="L3212" s="3">
        <v>3211</v>
      </c>
    </row>
    <row r="3213" spans="1:12" x14ac:dyDescent="0.15">
      <c r="A3213" s="1" t="s">
        <v>908</v>
      </c>
      <c r="B3213" s="1" t="s">
        <v>2110</v>
      </c>
      <c r="D3213" s="1" t="s">
        <v>2111</v>
      </c>
      <c r="E3213" s="1" t="s">
        <v>2466</v>
      </c>
      <c r="F3213" s="3">
        <v>0</v>
      </c>
      <c r="G3213" s="8" t="s">
        <v>3895</v>
      </c>
      <c r="H3213" s="8" t="s">
        <v>5159</v>
      </c>
      <c r="I3213" s="3">
        <v>28</v>
      </c>
      <c r="J3213" s="3" t="s">
        <v>6100</v>
      </c>
      <c r="K3213" s="17" t="str">
        <f>HYPERLINK("http://ictvonline.org/taxonomyHistory.asp?taxnode_id=20173408","ICTVonline=20173408")</f>
        <v>ICTVonline=20173408</v>
      </c>
      <c r="L3213" s="3">
        <v>3212</v>
      </c>
    </row>
    <row r="3214" spans="1:12" x14ac:dyDescent="0.15">
      <c r="A3214" s="1" t="s">
        <v>908</v>
      </c>
      <c r="B3214" s="1" t="s">
        <v>2110</v>
      </c>
      <c r="D3214" s="1" t="s">
        <v>2111</v>
      </c>
      <c r="E3214" s="1" t="s">
        <v>6161</v>
      </c>
      <c r="F3214" s="3">
        <v>0</v>
      </c>
      <c r="G3214" s="8" t="s">
        <v>3895</v>
      </c>
      <c r="H3214" s="8" t="s">
        <v>5159</v>
      </c>
      <c r="I3214" s="3">
        <v>32</v>
      </c>
      <c r="J3214" s="3" t="s">
        <v>6106</v>
      </c>
      <c r="K3214" s="17" t="str">
        <f>HYPERLINK("http://ictvonline.org/taxonomyHistory.asp?taxnode_id=20175835","ICTVonline=20175835")</f>
        <v>ICTVonline=20175835</v>
      </c>
      <c r="L3214" s="3">
        <v>3213</v>
      </c>
    </row>
    <row r="3215" spans="1:12" x14ac:dyDescent="0.15">
      <c r="A3215" s="1" t="s">
        <v>908</v>
      </c>
      <c r="B3215" s="1" t="s">
        <v>2110</v>
      </c>
      <c r="D3215" s="1" t="s">
        <v>2111</v>
      </c>
      <c r="E3215" s="1" t="s">
        <v>3956</v>
      </c>
      <c r="F3215" s="3">
        <v>0</v>
      </c>
      <c r="G3215" s="8" t="s">
        <v>3895</v>
      </c>
      <c r="H3215" s="8" t="s">
        <v>5159</v>
      </c>
      <c r="I3215" s="3">
        <v>30</v>
      </c>
      <c r="J3215" s="3" t="s">
        <v>6099</v>
      </c>
      <c r="K3215" s="17" t="str">
        <f>HYPERLINK("http://ictvonline.org/taxonomyHistory.asp?taxnode_id=20173409","ICTVonline=20173409")</f>
        <v>ICTVonline=20173409</v>
      </c>
      <c r="L3215" s="3">
        <v>3214</v>
      </c>
    </row>
    <row r="3216" spans="1:12" x14ac:dyDescent="0.15">
      <c r="A3216" s="1" t="s">
        <v>908</v>
      </c>
      <c r="B3216" s="1" t="s">
        <v>2110</v>
      </c>
      <c r="D3216" s="1" t="s">
        <v>2111</v>
      </c>
      <c r="E3216" s="1" t="s">
        <v>6162</v>
      </c>
      <c r="F3216" s="3">
        <v>0</v>
      </c>
      <c r="G3216" s="8" t="s">
        <v>3895</v>
      </c>
      <c r="H3216" s="8" t="s">
        <v>5159</v>
      </c>
      <c r="I3216" s="3">
        <v>32</v>
      </c>
      <c r="J3216" s="3" t="s">
        <v>6106</v>
      </c>
      <c r="K3216" s="17" t="str">
        <f>HYPERLINK("http://ictvonline.org/taxonomyHistory.asp?taxnode_id=20175836","ICTVonline=20175836")</f>
        <v>ICTVonline=20175836</v>
      </c>
      <c r="L3216" s="3">
        <v>3215</v>
      </c>
    </row>
    <row r="3217" spans="1:12" x14ac:dyDescent="0.15">
      <c r="A3217" s="1" t="s">
        <v>908</v>
      </c>
      <c r="B3217" s="1" t="s">
        <v>2110</v>
      </c>
      <c r="D3217" s="1" t="s">
        <v>2111</v>
      </c>
      <c r="E3217" s="1" t="s">
        <v>1835</v>
      </c>
      <c r="F3217" s="3">
        <v>0</v>
      </c>
      <c r="G3217" s="8" t="s">
        <v>3895</v>
      </c>
      <c r="H3217" s="8" t="s">
        <v>5161</v>
      </c>
      <c r="I3217" s="3">
        <v>16</v>
      </c>
      <c r="J3217" s="3" t="s">
        <v>6032</v>
      </c>
      <c r="K3217" s="17" t="str">
        <f>HYPERLINK("http://ictvonline.org/taxonomyHistory.asp?taxnode_id=20173410","ICTVonline=20173410")</f>
        <v>ICTVonline=20173410</v>
      </c>
      <c r="L3217" s="3">
        <v>3216</v>
      </c>
    </row>
    <row r="3218" spans="1:12" x14ac:dyDescent="0.15">
      <c r="A3218" s="1" t="s">
        <v>908</v>
      </c>
      <c r="B3218" s="1" t="s">
        <v>2110</v>
      </c>
      <c r="D3218" s="1" t="s">
        <v>2111</v>
      </c>
      <c r="E3218" s="1" t="s">
        <v>1836</v>
      </c>
      <c r="F3218" s="3">
        <v>0</v>
      </c>
      <c r="G3218" s="8" t="s">
        <v>3895</v>
      </c>
      <c r="H3218" s="8" t="s">
        <v>5159</v>
      </c>
      <c r="I3218" s="3">
        <v>22</v>
      </c>
      <c r="J3218" s="3" t="s">
        <v>6101</v>
      </c>
      <c r="K3218" s="17" t="str">
        <f>HYPERLINK("http://ictvonline.org/taxonomyHistory.asp?taxnode_id=20173411","ICTVonline=20173411")</f>
        <v>ICTVonline=20173411</v>
      </c>
      <c r="L3218" s="3">
        <v>3217</v>
      </c>
    </row>
    <row r="3219" spans="1:12" x14ac:dyDescent="0.15">
      <c r="A3219" s="1" t="s">
        <v>908</v>
      </c>
      <c r="B3219" s="1" t="s">
        <v>2110</v>
      </c>
      <c r="D3219" s="1" t="s">
        <v>2111</v>
      </c>
      <c r="E3219" s="1" t="s">
        <v>2467</v>
      </c>
      <c r="F3219" s="3">
        <v>0</v>
      </c>
      <c r="G3219" s="8" t="s">
        <v>3895</v>
      </c>
      <c r="H3219" s="8" t="s">
        <v>5159</v>
      </c>
      <c r="I3219" s="3">
        <v>28</v>
      </c>
      <c r="J3219" s="3" t="s">
        <v>6100</v>
      </c>
      <c r="K3219" s="17" t="str">
        <f>HYPERLINK("http://ictvonline.org/taxonomyHistory.asp?taxnode_id=20173412","ICTVonline=20173412")</f>
        <v>ICTVonline=20173412</v>
      </c>
      <c r="L3219" s="3">
        <v>3218</v>
      </c>
    </row>
    <row r="3220" spans="1:12" x14ac:dyDescent="0.15">
      <c r="A3220" s="1" t="s">
        <v>908</v>
      </c>
      <c r="B3220" s="1" t="s">
        <v>2110</v>
      </c>
      <c r="D3220" s="1" t="s">
        <v>2111</v>
      </c>
      <c r="E3220" s="1" t="s">
        <v>3957</v>
      </c>
      <c r="F3220" s="3">
        <v>0</v>
      </c>
      <c r="G3220" s="8" t="s">
        <v>3895</v>
      </c>
      <c r="H3220" s="8" t="s">
        <v>5159</v>
      </c>
      <c r="I3220" s="3">
        <v>30</v>
      </c>
      <c r="J3220" s="3" t="s">
        <v>6099</v>
      </c>
      <c r="K3220" s="17" t="str">
        <f>HYPERLINK("http://ictvonline.org/taxonomyHistory.asp?taxnode_id=20173413","ICTVonline=20173413")</f>
        <v>ICTVonline=20173413</v>
      </c>
      <c r="L3220" s="3">
        <v>3219</v>
      </c>
    </row>
    <row r="3221" spans="1:12" x14ac:dyDescent="0.15">
      <c r="A3221" s="1" t="s">
        <v>908</v>
      </c>
      <c r="B3221" s="1" t="s">
        <v>2110</v>
      </c>
      <c r="D3221" s="1" t="s">
        <v>2111</v>
      </c>
      <c r="E3221" s="1" t="s">
        <v>6163</v>
      </c>
      <c r="F3221" s="3">
        <v>0</v>
      </c>
      <c r="G3221" s="8" t="s">
        <v>3895</v>
      </c>
      <c r="H3221" s="8" t="s">
        <v>5159</v>
      </c>
      <c r="I3221" s="3">
        <v>32</v>
      </c>
      <c r="J3221" s="3" t="s">
        <v>6106</v>
      </c>
      <c r="K3221" s="17" t="str">
        <f>HYPERLINK("http://ictvonline.org/taxonomyHistory.asp?taxnode_id=20175837","ICTVonline=20175837")</f>
        <v>ICTVonline=20175837</v>
      </c>
      <c r="L3221" s="3">
        <v>3220</v>
      </c>
    </row>
    <row r="3222" spans="1:12" x14ac:dyDescent="0.15">
      <c r="A3222" s="1" t="s">
        <v>908</v>
      </c>
      <c r="B3222" s="1" t="s">
        <v>2110</v>
      </c>
      <c r="D3222" s="1" t="s">
        <v>2111</v>
      </c>
      <c r="E3222" s="1" t="s">
        <v>2468</v>
      </c>
      <c r="F3222" s="3">
        <v>0</v>
      </c>
      <c r="G3222" s="8" t="s">
        <v>3895</v>
      </c>
      <c r="H3222" s="8" t="s">
        <v>5159</v>
      </c>
      <c r="I3222" s="3">
        <v>28</v>
      </c>
      <c r="J3222" s="3" t="s">
        <v>6100</v>
      </c>
      <c r="K3222" s="17" t="str">
        <f>HYPERLINK("http://ictvonline.org/taxonomyHistory.asp?taxnode_id=20173414","ICTVonline=20173414")</f>
        <v>ICTVonline=20173414</v>
      </c>
      <c r="L3222" s="3">
        <v>3221</v>
      </c>
    </row>
    <row r="3223" spans="1:12" x14ac:dyDescent="0.15">
      <c r="A3223" s="1" t="s">
        <v>908</v>
      </c>
      <c r="B3223" s="1" t="s">
        <v>2110</v>
      </c>
      <c r="D3223" s="1" t="s">
        <v>2111</v>
      </c>
      <c r="E3223" s="1" t="s">
        <v>1837</v>
      </c>
      <c r="F3223" s="3">
        <v>0</v>
      </c>
      <c r="G3223" s="8" t="s">
        <v>3895</v>
      </c>
      <c r="H3223" s="8" t="s">
        <v>5159</v>
      </c>
      <c r="I3223" s="3">
        <v>24</v>
      </c>
      <c r="J3223" s="3" t="s">
        <v>6103</v>
      </c>
      <c r="K3223" s="17" t="str">
        <f>HYPERLINK("http://ictvonline.org/taxonomyHistory.asp?taxnode_id=20173415","ICTVonline=20173415")</f>
        <v>ICTVonline=20173415</v>
      </c>
      <c r="L3223" s="3">
        <v>3222</v>
      </c>
    </row>
    <row r="3224" spans="1:12" x14ac:dyDescent="0.15">
      <c r="A3224" s="1" t="s">
        <v>908</v>
      </c>
      <c r="B3224" s="1" t="s">
        <v>2110</v>
      </c>
      <c r="D3224" s="1" t="s">
        <v>2111</v>
      </c>
      <c r="E3224" s="1" t="s">
        <v>1603</v>
      </c>
      <c r="F3224" s="3">
        <v>0</v>
      </c>
      <c r="G3224" s="8" t="s">
        <v>3895</v>
      </c>
      <c r="H3224" s="8" t="s">
        <v>5171</v>
      </c>
      <c r="I3224" s="3">
        <v>24</v>
      </c>
      <c r="J3224" s="3" t="s">
        <v>6104</v>
      </c>
      <c r="K3224" s="17" t="str">
        <f>HYPERLINK("http://ictvonline.org/taxonomyHistory.asp?taxnode_id=20173416","ICTVonline=20173416")</f>
        <v>ICTVonline=20173416</v>
      </c>
      <c r="L3224" s="3">
        <v>3223</v>
      </c>
    </row>
    <row r="3225" spans="1:12" x14ac:dyDescent="0.15">
      <c r="A3225" s="1" t="s">
        <v>908</v>
      </c>
      <c r="B3225" s="1" t="s">
        <v>2110</v>
      </c>
      <c r="D3225" s="1" t="s">
        <v>2111</v>
      </c>
      <c r="E3225" s="1" t="s">
        <v>1604</v>
      </c>
      <c r="F3225" s="3">
        <v>0</v>
      </c>
      <c r="G3225" s="8" t="s">
        <v>3895</v>
      </c>
      <c r="H3225" s="8" t="s">
        <v>5159</v>
      </c>
      <c r="I3225" s="3">
        <v>22</v>
      </c>
      <c r="J3225" s="3" t="s">
        <v>6101</v>
      </c>
      <c r="K3225" s="17" t="str">
        <f>HYPERLINK("http://ictvonline.org/taxonomyHistory.asp?taxnode_id=20173417","ICTVonline=20173417")</f>
        <v>ICTVonline=20173417</v>
      </c>
      <c r="L3225" s="3">
        <v>3224</v>
      </c>
    </row>
    <row r="3226" spans="1:12" x14ac:dyDescent="0.15">
      <c r="A3226" s="1" t="s">
        <v>908</v>
      </c>
      <c r="B3226" s="1" t="s">
        <v>2110</v>
      </c>
      <c r="D3226" s="1" t="s">
        <v>2111</v>
      </c>
      <c r="E3226" s="1" t="s">
        <v>6164</v>
      </c>
      <c r="F3226" s="3">
        <v>0</v>
      </c>
      <c r="G3226" s="8" t="s">
        <v>3895</v>
      </c>
      <c r="H3226" s="8" t="s">
        <v>5159</v>
      </c>
      <c r="I3226" s="3">
        <v>32</v>
      </c>
      <c r="J3226" s="3" t="s">
        <v>6106</v>
      </c>
      <c r="K3226" s="17" t="str">
        <f>HYPERLINK("http://ictvonline.org/taxonomyHistory.asp?taxnode_id=20175838","ICTVonline=20175838")</f>
        <v>ICTVonline=20175838</v>
      </c>
      <c r="L3226" s="3">
        <v>3225</v>
      </c>
    </row>
    <row r="3227" spans="1:12" x14ac:dyDescent="0.15">
      <c r="A3227" s="1" t="s">
        <v>908</v>
      </c>
      <c r="B3227" s="1" t="s">
        <v>2110</v>
      </c>
      <c r="D3227" s="1" t="s">
        <v>2111</v>
      </c>
      <c r="E3227" s="1" t="s">
        <v>2469</v>
      </c>
      <c r="F3227" s="3">
        <v>0</v>
      </c>
      <c r="G3227" s="8" t="s">
        <v>3895</v>
      </c>
      <c r="H3227" s="8" t="s">
        <v>5159</v>
      </c>
      <c r="I3227" s="3">
        <v>28</v>
      </c>
      <c r="J3227" s="3" t="s">
        <v>6100</v>
      </c>
      <c r="K3227" s="17" t="str">
        <f>HYPERLINK("http://ictvonline.org/taxonomyHistory.asp?taxnode_id=20173418","ICTVonline=20173418")</f>
        <v>ICTVonline=20173418</v>
      </c>
      <c r="L3227" s="3">
        <v>3226</v>
      </c>
    </row>
    <row r="3228" spans="1:12" x14ac:dyDescent="0.15">
      <c r="A3228" s="1" t="s">
        <v>908</v>
      </c>
      <c r="B3228" s="1" t="s">
        <v>2110</v>
      </c>
      <c r="D3228" s="1" t="s">
        <v>2111</v>
      </c>
      <c r="E3228" s="1" t="s">
        <v>1948</v>
      </c>
      <c r="F3228" s="3">
        <v>0</v>
      </c>
      <c r="G3228" s="8" t="s">
        <v>3895</v>
      </c>
      <c r="H3228" s="8" t="s">
        <v>5159</v>
      </c>
      <c r="I3228" s="3">
        <v>22</v>
      </c>
      <c r="J3228" s="3" t="s">
        <v>6165</v>
      </c>
      <c r="K3228" s="17" t="str">
        <f>HYPERLINK("http://ictvonline.org/taxonomyHistory.asp?taxnode_id=20173419","ICTVonline=20173419")</f>
        <v>ICTVonline=20173419</v>
      </c>
      <c r="L3228" s="3">
        <v>3227</v>
      </c>
    </row>
    <row r="3229" spans="1:12" x14ac:dyDescent="0.15">
      <c r="A3229" s="1" t="s">
        <v>908</v>
      </c>
      <c r="B3229" s="1" t="s">
        <v>2110</v>
      </c>
      <c r="D3229" s="1" t="s">
        <v>2111</v>
      </c>
      <c r="E3229" s="1" t="s">
        <v>1861</v>
      </c>
      <c r="F3229" s="3">
        <v>0</v>
      </c>
      <c r="G3229" s="8" t="s">
        <v>3895</v>
      </c>
      <c r="H3229" s="8" t="s">
        <v>5168</v>
      </c>
      <c r="I3229" s="3">
        <v>28</v>
      </c>
      <c r="J3229" s="3" t="s">
        <v>6100</v>
      </c>
      <c r="K3229" s="17" t="str">
        <f>HYPERLINK("http://ictvonline.org/taxonomyHistory.asp?taxnode_id=20173420","ICTVonline=20173420")</f>
        <v>ICTVonline=20173420</v>
      </c>
      <c r="L3229" s="3">
        <v>3228</v>
      </c>
    </row>
    <row r="3230" spans="1:12" x14ac:dyDescent="0.15">
      <c r="A3230" s="1" t="s">
        <v>908</v>
      </c>
      <c r="B3230" s="1" t="s">
        <v>2110</v>
      </c>
      <c r="D3230" s="1" t="s">
        <v>2111</v>
      </c>
      <c r="E3230" s="1" t="s">
        <v>2470</v>
      </c>
      <c r="F3230" s="3">
        <v>0</v>
      </c>
      <c r="G3230" s="8" t="s">
        <v>3895</v>
      </c>
      <c r="H3230" s="8" t="s">
        <v>5159</v>
      </c>
      <c r="I3230" s="3">
        <v>28</v>
      </c>
      <c r="J3230" s="3" t="s">
        <v>6100</v>
      </c>
      <c r="K3230" s="17" t="str">
        <f>HYPERLINK("http://ictvonline.org/taxonomyHistory.asp?taxnode_id=20173421","ICTVonline=20173421")</f>
        <v>ICTVonline=20173421</v>
      </c>
      <c r="L3230" s="3">
        <v>3229</v>
      </c>
    </row>
    <row r="3231" spans="1:12" x14ac:dyDescent="0.15">
      <c r="A3231" s="1" t="s">
        <v>908</v>
      </c>
      <c r="B3231" s="1" t="s">
        <v>2110</v>
      </c>
      <c r="D3231" s="1" t="s">
        <v>2111</v>
      </c>
      <c r="E3231" s="1" t="s">
        <v>2471</v>
      </c>
      <c r="F3231" s="3">
        <v>0</v>
      </c>
      <c r="G3231" s="8" t="s">
        <v>3895</v>
      </c>
      <c r="H3231" s="8" t="s">
        <v>5159</v>
      </c>
      <c r="I3231" s="3">
        <v>28</v>
      </c>
      <c r="J3231" s="3" t="s">
        <v>6100</v>
      </c>
      <c r="K3231" s="17" t="str">
        <f>HYPERLINK("http://ictvonline.org/taxonomyHistory.asp?taxnode_id=20173422","ICTVonline=20173422")</f>
        <v>ICTVonline=20173422</v>
      </c>
      <c r="L3231" s="3">
        <v>3230</v>
      </c>
    </row>
    <row r="3232" spans="1:12" x14ac:dyDescent="0.15">
      <c r="A3232" s="1" t="s">
        <v>908</v>
      </c>
      <c r="B3232" s="1" t="s">
        <v>2110</v>
      </c>
      <c r="D3232" s="1" t="s">
        <v>2111</v>
      </c>
      <c r="E3232" s="1" t="s">
        <v>1543</v>
      </c>
      <c r="F3232" s="3">
        <v>0</v>
      </c>
      <c r="G3232" s="8" t="s">
        <v>3895</v>
      </c>
      <c r="H3232" s="8" t="s">
        <v>5159</v>
      </c>
      <c r="I3232" s="3">
        <v>24</v>
      </c>
      <c r="J3232" s="3" t="s">
        <v>6102</v>
      </c>
      <c r="K3232" s="17" t="str">
        <f>HYPERLINK("http://ictvonline.org/taxonomyHistory.asp?taxnode_id=20173423","ICTVonline=20173423")</f>
        <v>ICTVonline=20173423</v>
      </c>
      <c r="L3232" s="3">
        <v>3231</v>
      </c>
    </row>
    <row r="3233" spans="1:12" x14ac:dyDescent="0.15">
      <c r="A3233" s="1" t="s">
        <v>908</v>
      </c>
      <c r="B3233" s="1" t="s">
        <v>2110</v>
      </c>
      <c r="D3233" s="1" t="s">
        <v>2111</v>
      </c>
      <c r="E3233" s="1" t="s">
        <v>466</v>
      </c>
      <c r="F3233" s="3">
        <v>0</v>
      </c>
      <c r="G3233" s="8" t="s">
        <v>3895</v>
      </c>
      <c r="H3233" s="8" t="s">
        <v>5159</v>
      </c>
      <c r="I3233" s="3">
        <v>24</v>
      </c>
      <c r="J3233" s="3" t="s">
        <v>6107</v>
      </c>
      <c r="K3233" s="17" t="str">
        <f>HYPERLINK("http://ictvonline.org/taxonomyHistory.asp?taxnode_id=20173424","ICTVonline=20173424")</f>
        <v>ICTVonline=20173424</v>
      </c>
      <c r="L3233" s="3">
        <v>3232</v>
      </c>
    </row>
    <row r="3234" spans="1:12" x14ac:dyDescent="0.15">
      <c r="A3234" s="1" t="s">
        <v>908</v>
      </c>
      <c r="B3234" s="1" t="s">
        <v>2110</v>
      </c>
      <c r="D3234" s="1" t="s">
        <v>2111</v>
      </c>
      <c r="E3234" s="1" t="s">
        <v>467</v>
      </c>
      <c r="F3234" s="3">
        <v>0</v>
      </c>
      <c r="G3234" s="8" t="s">
        <v>3895</v>
      </c>
      <c r="H3234" s="8" t="s">
        <v>5159</v>
      </c>
      <c r="I3234" s="3">
        <v>22</v>
      </c>
      <c r="J3234" s="3" t="s">
        <v>6101</v>
      </c>
      <c r="K3234" s="17" t="str">
        <f>HYPERLINK("http://ictvonline.org/taxonomyHistory.asp?taxnode_id=20173425","ICTVonline=20173425")</f>
        <v>ICTVonline=20173425</v>
      </c>
      <c r="L3234" s="3">
        <v>3233</v>
      </c>
    </row>
    <row r="3235" spans="1:12" x14ac:dyDescent="0.15">
      <c r="A3235" s="1" t="s">
        <v>908</v>
      </c>
      <c r="B3235" s="1" t="s">
        <v>2110</v>
      </c>
      <c r="D3235" s="1" t="s">
        <v>2111</v>
      </c>
      <c r="E3235" s="1" t="s">
        <v>2472</v>
      </c>
      <c r="F3235" s="3">
        <v>0</v>
      </c>
      <c r="G3235" s="8" t="s">
        <v>3895</v>
      </c>
      <c r="H3235" s="8" t="s">
        <v>5159</v>
      </c>
      <c r="I3235" s="3">
        <v>28</v>
      </c>
      <c r="J3235" s="3" t="s">
        <v>6100</v>
      </c>
      <c r="K3235" s="17" t="str">
        <f>HYPERLINK("http://ictvonline.org/taxonomyHistory.asp?taxnode_id=20173426","ICTVonline=20173426")</f>
        <v>ICTVonline=20173426</v>
      </c>
      <c r="L3235" s="3">
        <v>3234</v>
      </c>
    </row>
    <row r="3236" spans="1:12" x14ac:dyDescent="0.15">
      <c r="A3236" s="1" t="s">
        <v>908</v>
      </c>
      <c r="B3236" s="1" t="s">
        <v>2110</v>
      </c>
      <c r="D3236" s="1" t="s">
        <v>2111</v>
      </c>
      <c r="E3236" s="1" t="s">
        <v>2473</v>
      </c>
      <c r="F3236" s="3">
        <v>0</v>
      </c>
      <c r="G3236" s="8" t="s">
        <v>3895</v>
      </c>
      <c r="H3236" s="8" t="s">
        <v>5159</v>
      </c>
      <c r="I3236" s="3">
        <v>28</v>
      </c>
      <c r="J3236" s="3" t="s">
        <v>6100</v>
      </c>
      <c r="K3236" s="17" t="str">
        <f>HYPERLINK("http://ictvonline.org/taxonomyHistory.asp?taxnode_id=20173427","ICTVonline=20173427")</f>
        <v>ICTVonline=20173427</v>
      </c>
      <c r="L3236" s="3">
        <v>3235</v>
      </c>
    </row>
    <row r="3237" spans="1:12" x14ac:dyDescent="0.15">
      <c r="A3237" s="1" t="s">
        <v>908</v>
      </c>
      <c r="B3237" s="1" t="s">
        <v>2110</v>
      </c>
      <c r="D3237" s="1" t="s">
        <v>2111</v>
      </c>
      <c r="E3237" s="1" t="s">
        <v>449</v>
      </c>
      <c r="F3237" s="3">
        <v>0</v>
      </c>
      <c r="G3237" s="8" t="s">
        <v>3895</v>
      </c>
      <c r="H3237" s="8" t="s">
        <v>5159</v>
      </c>
      <c r="I3237" s="3">
        <v>24</v>
      </c>
      <c r="J3237" s="3" t="s">
        <v>6103</v>
      </c>
      <c r="K3237" s="17" t="str">
        <f>HYPERLINK("http://ictvonline.org/taxonomyHistory.asp?taxnode_id=20173428","ICTVonline=20173428")</f>
        <v>ICTVonline=20173428</v>
      </c>
      <c r="L3237" s="3">
        <v>3236</v>
      </c>
    </row>
    <row r="3238" spans="1:12" x14ac:dyDescent="0.15">
      <c r="A3238" s="1" t="s">
        <v>908</v>
      </c>
      <c r="B3238" s="1" t="s">
        <v>2110</v>
      </c>
      <c r="D3238" s="1" t="s">
        <v>2111</v>
      </c>
      <c r="E3238" s="1" t="s">
        <v>2474</v>
      </c>
      <c r="F3238" s="3">
        <v>0</v>
      </c>
      <c r="G3238" s="8" t="s">
        <v>3895</v>
      </c>
      <c r="H3238" s="8" t="s">
        <v>5159</v>
      </c>
      <c r="I3238" s="3">
        <v>28</v>
      </c>
      <c r="J3238" s="3" t="s">
        <v>6100</v>
      </c>
      <c r="K3238" s="17" t="str">
        <f>HYPERLINK("http://ictvonline.org/taxonomyHistory.asp?taxnode_id=20173429","ICTVonline=20173429")</f>
        <v>ICTVonline=20173429</v>
      </c>
      <c r="L3238" s="3">
        <v>3237</v>
      </c>
    </row>
    <row r="3239" spans="1:12" x14ac:dyDescent="0.15">
      <c r="A3239" s="1" t="s">
        <v>908</v>
      </c>
      <c r="B3239" s="1" t="s">
        <v>2110</v>
      </c>
      <c r="D3239" s="1" t="s">
        <v>2111</v>
      </c>
      <c r="E3239" s="1" t="s">
        <v>303</v>
      </c>
      <c r="F3239" s="3">
        <v>0</v>
      </c>
      <c r="G3239" s="8" t="s">
        <v>3895</v>
      </c>
      <c r="H3239" s="8" t="s">
        <v>5159</v>
      </c>
      <c r="I3239" s="3">
        <v>24</v>
      </c>
      <c r="J3239" s="3" t="s">
        <v>6102</v>
      </c>
      <c r="K3239" s="17" t="str">
        <f>HYPERLINK("http://ictvonline.org/taxonomyHistory.asp?taxnode_id=20173430","ICTVonline=20173430")</f>
        <v>ICTVonline=20173430</v>
      </c>
      <c r="L3239" s="3">
        <v>3238</v>
      </c>
    </row>
    <row r="3240" spans="1:12" x14ac:dyDescent="0.15">
      <c r="A3240" s="1" t="s">
        <v>908</v>
      </c>
      <c r="B3240" s="1" t="s">
        <v>2110</v>
      </c>
      <c r="D3240" s="1" t="s">
        <v>2111</v>
      </c>
      <c r="E3240" s="1" t="s">
        <v>307</v>
      </c>
      <c r="F3240" s="3">
        <v>0</v>
      </c>
      <c r="G3240" s="8" t="s">
        <v>3895</v>
      </c>
      <c r="H3240" s="8" t="s">
        <v>5159</v>
      </c>
      <c r="I3240" s="3">
        <v>24</v>
      </c>
      <c r="J3240" s="3" t="s">
        <v>6102</v>
      </c>
      <c r="K3240" s="17" t="str">
        <f>HYPERLINK("http://ictvonline.org/taxonomyHistory.asp?taxnode_id=20173431","ICTVonline=20173431")</f>
        <v>ICTVonline=20173431</v>
      </c>
      <c r="L3240" s="3">
        <v>3239</v>
      </c>
    </row>
    <row r="3241" spans="1:12" x14ac:dyDescent="0.15">
      <c r="A3241" s="1" t="s">
        <v>908</v>
      </c>
      <c r="B3241" s="1" t="s">
        <v>2110</v>
      </c>
      <c r="D3241" s="1" t="s">
        <v>2111</v>
      </c>
      <c r="E3241" s="1" t="s">
        <v>866</v>
      </c>
      <c r="F3241" s="3">
        <v>0</v>
      </c>
      <c r="G3241" s="8" t="s">
        <v>3895</v>
      </c>
      <c r="H3241" s="8" t="s">
        <v>5171</v>
      </c>
      <c r="I3241" s="3">
        <v>24</v>
      </c>
      <c r="J3241" s="3" t="s">
        <v>6104</v>
      </c>
      <c r="K3241" s="17" t="str">
        <f>HYPERLINK("http://ictvonline.org/taxonomyHistory.asp?taxnode_id=20173432","ICTVonline=20173432")</f>
        <v>ICTVonline=20173432</v>
      </c>
      <c r="L3241" s="3">
        <v>3240</v>
      </c>
    </row>
    <row r="3242" spans="1:12" x14ac:dyDescent="0.15">
      <c r="A3242" s="1" t="s">
        <v>908</v>
      </c>
      <c r="B3242" s="1" t="s">
        <v>2110</v>
      </c>
      <c r="D3242" s="1" t="s">
        <v>2111</v>
      </c>
      <c r="E3242" s="1" t="s">
        <v>1544</v>
      </c>
      <c r="F3242" s="3">
        <v>0</v>
      </c>
      <c r="G3242" s="8" t="s">
        <v>3895</v>
      </c>
      <c r="H3242" s="8" t="s">
        <v>5159</v>
      </c>
      <c r="I3242" s="3">
        <v>24</v>
      </c>
      <c r="J3242" s="3" t="s">
        <v>6103</v>
      </c>
      <c r="K3242" s="17" t="str">
        <f>HYPERLINK("http://ictvonline.org/taxonomyHistory.asp?taxnode_id=20173433","ICTVonline=20173433")</f>
        <v>ICTVonline=20173433</v>
      </c>
      <c r="L3242" s="3">
        <v>3241</v>
      </c>
    </row>
    <row r="3243" spans="1:12" x14ac:dyDescent="0.15">
      <c r="A3243" s="1" t="s">
        <v>908</v>
      </c>
      <c r="B3243" s="1" t="s">
        <v>2110</v>
      </c>
      <c r="D3243" s="1" t="s">
        <v>2111</v>
      </c>
      <c r="E3243" s="1" t="s">
        <v>1545</v>
      </c>
      <c r="F3243" s="3">
        <v>0</v>
      </c>
      <c r="G3243" s="8" t="s">
        <v>3895</v>
      </c>
      <c r="H3243" s="8" t="s">
        <v>5159</v>
      </c>
      <c r="I3243" s="3">
        <v>22</v>
      </c>
      <c r="J3243" s="3" t="s">
        <v>6101</v>
      </c>
      <c r="K3243" s="17" t="str">
        <f>HYPERLINK("http://ictvonline.org/taxonomyHistory.asp?taxnode_id=20173434","ICTVonline=20173434")</f>
        <v>ICTVonline=20173434</v>
      </c>
      <c r="L3243" s="3">
        <v>3242</v>
      </c>
    </row>
    <row r="3244" spans="1:12" x14ac:dyDescent="0.15">
      <c r="A3244" s="1" t="s">
        <v>908</v>
      </c>
      <c r="B3244" s="1" t="s">
        <v>2110</v>
      </c>
      <c r="D3244" s="1" t="s">
        <v>2111</v>
      </c>
      <c r="E3244" s="1" t="s">
        <v>3958</v>
      </c>
      <c r="F3244" s="3">
        <v>0</v>
      </c>
      <c r="G3244" s="8" t="s">
        <v>3895</v>
      </c>
      <c r="H3244" s="8" t="s">
        <v>5159</v>
      </c>
      <c r="I3244" s="3">
        <v>30</v>
      </c>
      <c r="J3244" s="3" t="s">
        <v>6099</v>
      </c>
      <c r="K3244" s="17" t="str">
        <f>HYPERLINK("http://ictvonline.org/taxonomyHistory.asp?taxnode_id=20173435","ICTVonline=20173435")</f>
        <v>ICTVonline=20173435</v>
      </c>
      <c r="L3244" s="3">
        <v>3243</v>
      </c>
    </row>
    <row r="3245" spans="1:12" x14ac:dyDescent="0.15">
      <c r="A3245" s="1" t="s">
        <v>908</v>
      </c>
      <c r="B3245" s="1" t="s">
        <v>2110</v>
      </c>
      <c r="D3245" s="1" t="s">
        <v>2111</v>
      </c>
      <c r="E3245" s="1" t="s">
        <v>1546</v>
      </c>
      <c r="F3245" s="3">
        <v>0</v>
      </c>
      <c r="G3245" s="8" t="s">
        <v>3895</v>
      </c>
      <c r="H3245" s="8" t="s">
        <v>5159</v>
      </c>
      <c r="I3245" s="3">
        <v>24</v>
      </c>
      <c r="J3245" s="3" t="s">
        <v>6102</v>
      </c>
      <c r="K3245" s="17" t="str">
        <f>HYPERLINK("http://ictvonline.org/taxonomyHistory.asp?taxnode_id=20173436","ICTVonline=20173436")</f>
        <v>ICTVonline=20173436</v>
      </c>
      <c r="L3245" s="3">
        <v>3244</v>
      </c>
    </row>
    <row r="3246" spans="1:12" x14ac:dyDescent="0.15">
      <c r="A3246" s="1" t="s">
        <v>908</v>
      </c>
      <c r="B3246" s="1" t="s">
        <v>2110</v>
      </c>
      <c r="D3246" s="1" t="s">
        <v>2111</v>
      </c>
      <c r="E3246" s="1" t="s">
        <v>1547</v>
      </c>
      <c r="F3246" s="3">
        <v>0</v>
      </c>
      <c r="G3246" s="8" t="s">
        <v>3895</v>
      </c>
      <c r="H3246" s="8" t="s">
        <v>5159</v>
      </c>
      <c r="I3246" s="3">
        <v>22</v>
      </c>
      <c r="J3246" s="3" t="s">
        <v>6101</v>
      </c>
      <c r="K3246" s="17" t="str">
        <f>HYPERLINK("http://ictvonline.org/taxonomyHistory.asp?taxnode_id=20173437","ICTVonline=20173437")</f>
        <v>ICTVonline=20173437</v>
      </c>
      <c r="L3246" s="3">
        <v>3245</v>
      </c>
    </row>
    <row r="3247" spans="1:12" x14ac:dyDescent="0.15">
      <c r="A3247" s="1" t="s">
        <v>908</v>
      </c>
      <c r="B3247" s="1" t="s">
        <v>2110</v>
      </c>
      <c r="D3247" s="1" t="s">
        <v>2111</v>
      </c>
      <c r="E3247" s="1" t="s">
        <v>1548</v>
      </c>
      <c r="F3247" s="3">
        <v>0</v>
      </c>
      <c r="G3247" s="8" t="s">
        <v>3895</v>
      </c>
      <c r="H3247" s="8" t="s">
        <v>5159</v>
      </c>
      <c r="I3247" s="3">
        <v>24</v>
      </c>
      <c r="J3247" s="3" t="s">
        <v>6102</v>
      </c>
      <c r="K3247" s="17" t="str">
        <f>HYPERLINK("http://ictvonline.org/taxonomyHistory.asp?taxnode_id=20173438","ICTVonline=20173438")</f>
        <v>ICTVonline=20173438</v>
      </c>
      <c r="L3247" s="3">
        <v>3246</v>
      </c>
    </row>
    <row r="3248" spans="1:12" x14ac:dyDescent="0.15">
      <c r="A3248" s="1" t="s">
        <v>908</v>
      </c>
      <c r="B3248" s="1" t="s">
        <v>2110</v>
      </c>
      <c r="D3248" s="1" t="s">
        <v>2111</v>
      </c>
      <c r="E3248" s="1" t="s">
        <v>2475</v>
      </c>
      <c r="F3248" s="3">
        <v>0</v>
      </c>
      <c r="G3248" s="8" t="s">
        <v>3895</v>
      </c>
      <c r="H3248" s="8" t="s">
        <v>5159</v>
      </c>
      <c r="I3248" s="3">
        <v>28</v>
      </c>
      <c r="J3248" s="3" t="s">
        <v>6100</v>
      </c>
      <c r="K3248" s="17" t="str">
        <f>HYPERLINK("http://ictvonline.org/taxonomyHistory.asp?taxnode_id=20173439","ICTVonline=20173439")</f>
        <v>ICTVonline=20173439</v>
      </c>
      <c r="L3248" s="3">
        <v>3247</v>
      </c>
    </row>
    <row r="3249" spans="1:12" x14ac:dyDescent="0.15">
      <c r="A3249" s="1" t="s">
        <v>908</v>
      </c>
      <c r="B3249" s="1" t="s">
        <v>2110</v>
      </c>
      <c r="D3249" s="1" t="s">
        <v>2111</v>
      </c>
      <c r="E3249" s="1" t="s">
        <v>2476</v>
      </c>
      <c r="F3249" s="3">
        <v>0</v>
      </c>
      <c r="G3249" s="8" t="s">
        <v>3895</v>
      </c>
      <c r="H3249" s="8" t="s">
        <v>5159</v>
      </c>
      <c r="I3249" s="3">
        <v>28</v>
      </c>
      <c r="J3249" s="3" t="s">
        <v>6100</v>
      </c>
      <c r="K3249" s="17" t="str">
        <f>HYPERLINK("http://ictvonline.org/taxonomyHistory.asp?taxnode_id=20173440","ICTVonline=20173440")</f>
        <v>ICTVonline=20173440</v>
      </c>
      <c r="L3249" s="3">
        <v>3248</v>
      </c>
    </row>
    <row r="3250" spans="1:12" x14ac:dyDescent="0.15">
      <c r="A3250" s="1" t="s">
        <v>908</v>
      </c>
      <c r="B3250" s="1" t="s">
        <v>2110</v>
      </c>
      <c r="D3250" s="1" t="s">
        <v>2111</v>
      </c>
      <c r="E3250" s="1" t="s">
        <v>2477</v>
      </c>
      <c r="F3250" s="3">
        <v>0</v>
      </c>
      <c r="G3250" s="8" t="s">
        <v>3895</v>
      </c>
      <c r="H3250" s="8" t="s">
        <v>5159</v>
      </c>
      <c r="I3250" s="3">
        <v>28</v>
      </c>
      <c r="J3250" s="3" t="s">
        <v>6100</v>
      </c>
      <c r="K3250" s="17" t="str">
        <f>HYPERLINK("http://ictvonline.org/taxonomyHistory.asp?taxnode_id=20173441","ICTVonline=20173441")</f>
        <v>ICTVonline=20173441</v>
      </c>
      <c r="L3250" s="3">
        <v>3249</v>
      </c>
    </row>
    <row r="3251" spans="1:12" x14ac:dyDescent="0.15">
      <c r="A3251" s="1" t="s">
        <v>908</v>
      </c>
      <c r="B3251" s="1" t="s">
        <v>2110</v>
      </c>
      <c r="D3251" s="1" t="s">
        <v>2111</v>
      </c>
      <c r="E3251" s="1" t="s">
        <v>1549</v>
      </c>
      <c r="F3251" s="3">
        <v>0</v>
      </c>
      <c r="G3251" s="8" t="s">
        <v>3895</v>
      </c>
      <c r="H3251" s="8" t="s">
        <v>5162</v>
      </c>
      <c r="I3251" s="3">
        <v>23</v>
      </c>
      <c r="J3251" s="3" t="s">
        <v>6020</v>
      </c>
      <c r="K3251" s="17" t="str">
        <f>HYPERLINK("http://ictvonline.org/taxonomyHistory.asp?taxnode_id=20173442","ICTVonline=20173442")</f>
        <v>ICTVonline=20173442</v>
      </c>
      <c r="L3251" s="3">
        <v>3250</v>
      </c>
    </row>
    <row r="3252" spans="1:12" x14ac:dyDescent="0.15">
      <c r="A3252" s="1" t="s">
        <v>908</v>
      </c>
      <c r="B3252" s="1" t="s">
        <v>2110</v>
      </c>
      <c r="D3252" s="1" t="s">
        <v>2111</v>
      </c>
      <c r="E3252" s="1" t="s">
        <v>3959</v>
      </c>
      <c r="F3252" s="3">
        <v>0</v>
      </c>
      <c r="G3252" s="8" t="s">
        <v>3895</v>
      </c>
      <c r="H3252" s="8" t="s">
        <v>5159</v>
      </c>
      <c r="I3252" s="3">
        <v>30</v>
      </c>
      <c r="J3252" s="3" t="s">
        <v>6099</v>
      </c>
      <c r="K3252" s="17" t="str">
        <f>HYPERLINK("http://ictvonline.org/taxonomyHistory.asp?taxnode_id=20173443","ICTVonline=20173443")</f>
        <v>ICTVonline=20173443</v>
      </c>
      <c r="L3252" s="3">
        <v>3251</v>
      </c>
    </row>
    <row r="3253" spans="1:12" x14ac:dyDescent="0.15">
      <c r="A3253" s="1" t="s">
        <v>908</v>
      </c>
      <c r="B3253" s="1" t="s">
        <v>2110</v>
      </c>
      <c r="D3253" s="1" t="s">
        <v>2111</v>
      </c>
      <c r="E3253" s="1" t="s">
        <v>3960</v>
      </c>
      <c r="F3253" s="3">
        <v>0</v>
      </c>
      <c r="G3253" s="8" t="s">
        <v>3895</v>
      </c>
      <c r="H3253" s="8" t="s">
        <v>5159</v>
      </c>
      <c r="I3253" s="3">
        <v>30</v>
      </c>
      <c r="J3253" s="3" t="s">
        <v>6099</v>
      </c>
      <c r="K3253" s="17" t="str">
        <f>HYPERLINK("http://ictvonline.org/taxonomyHistory.asp?taxnode_id=20173444","ICTVonline=20173444")</f>
        <v>ICTVonline=20173444</v>
      </c>
      <c r="L3253" s="3">
        <v>3252</v>
      </c>
    </row>
    <row r="3254" spans="1:12" x14ac:dyDescent="0.15">
      <c r="A3254" s="1" t="s">
        <v>908</v>
      </c>
      <c r="B3254" s="1" t="s">
        <v>2110</v>
      </c>
      <c r="D3254" s="1" t="s">
        <v>2111</v>
      </c>
      <c r="E3254" s="1" t="s">
        <v>2478</v>
      </c>
      <c r="F3254" s="3">
        <v>0</v>
      </c>
      <c r="G3254" s="8" t="s">
        <v>3895</v>
      </c>
      <c r="H3254" s="8" t="s">
        <v>5159</v>
      </c>
      <c r="I3254" s="3">
        <v>28</v>
      </c>
      <c r="J3254" s="3" t="s">
        <v>6100</v>
      </c>
      <c r="K3254" s="17" t="str">
        <f>HYPERLINK("http://ictvonline.org/taxonomyHistory.asp?taxnode_id=20173445","ICTVonline=20173445")</f>
        <v>ICTVonline=20173445</v>
      </c>
      <c r="L3254" s="3">
        <v>3253</v>
      </c>
    </row>
    <row r="3255" spans="1:12" x14ac:dyDescent="0.15">
      <c r="A3255" s="1" t="s">
        <v>908</v>
      </c>
      <c r="B3255" s="1" t="s">
        <v>2110</v>
      </c>
      <c r="D3255" s="1" t="s">
        <v>2111</v>
      </c>
      <c r="E3255" s="1" t="s">
        <v>2479</v>
      </c>
      <c r="F3255" s="3">
        <v>0</v>
      </c>
      <c r="G3255" s="8" t="s">
        <v>3895</v>
      </c>
      <c r="H3255" s="8" t="s">
        <v>5159</v>
      </c>
      <c r="I3255" s="3">
        <v>28</v>
      </c>
      <c r="J3255" s="3" t="s">
        <v>6100</v>
      </c>
      <c r="K3255" s="17" t="str">
        <f>HYPERLINK("http://ictvonline.org/taxonomyHistory.asp?taxnode_id=20173446","ICTVonline=20173446")</f>
        <v>ICTVonline=20173446</v>
      </c>
      <c r="L3255" s="3">
        <v>3254</v>
      </c>
    </row>
    <row r="3256" spans="1:12" x14ac:dyDescent="0.15">
      <c r="A3256" s="1" t="s">
        <v>908</v>
      </c>
      <c r="B3256" s="1" t="s">
        <v>2110</v>
      </c>
      <c r="D3256" s="1" t="s">
        <v>2111</v>
      </c>
      <c r="E3256" s="1" t="s">
        <v>3961</v>
      </c>
      <c r="F3256" s="3">
        <v>0</v>
      </c>
      <c r="G3256" s="8" t="s">
        <v>3895</v>
      </c>
      <c r="H3256" s="8" t="s">
        <v>5159</v>
      </c>
      <c r="I3256" s="3">
        <v>30</v>
      </c>
      <c r="J3256" s="3" t="s">
        <v>6099</v>
      </c>
      <c r="K3256" s="17" t="str">
        <f>HYPERLINK("http://ictvonline.org/taxonomyHistory.asp?taxnode_id=20173447","ICTVonline=20173447")</f>
        <v>ICTVonline=20173447</v>
      </c>
      <c r="L3256" s="3">
        <v>3255</v>
      </c>
    </row>
    <row r="3257" spans="1:12" x14ac:dyDescent="0.15">
      <c r="A3257" s="1" t="s">
        <v>908</v>
      </c>
      <c r="B3257" s="1" t="s">
        <v>2110</v>
      </c>
      <c r="D3257" s="1" t="s">
        <v>2111</v>
      </c>
      <c r="E3257" s="1" t="s">
        <v>3962</v>
      </c>
      <c r="F3257" s="3">
        <v>0</v>
      </c>
      <c r="G3257" s="8" t="s">
        <v>3895</v>
      </c>
      <c r="H3257" s="8" t="s">
        <v>5159</v>
      </c>
      <c r="I3257" s="3">
        <v>30</v>
      </c>
      <c r="J3257" s="3" t="s">
        <v>6099</v>
      </c>
      <c r="K3257" s="17" t="str">
        <f>HYPERLINK("http://ictvonline.org/taxonomyHistory.asp?taxnode_id=20173448","ICTVonline=20173448")</f>
        <v>ICTVonline=20173448</v>
      </c>
      <c r="L3257" s="3">
        <v>3256</v>
      </c>
    </row>
    <row r="3258" spans="1:12" x14ac:dyDescent="0.15">
      <c r="A3258" s="1" t="s">
        <v>908</v>
      </c>
      <c r="B3258" s="1" t="s">
        <v>2110</v>
      </c>
      <c r="D3258" s="1" t="s">
        <v>2111</v>
      </c>
      <c r="E3258" s="1" t="s">
        <v>1550</v>
      </c>
      <c r="F3258" s="3">
        <v>0</v>
      </c>
      <c r="G3258" s="8" t="s">
        <v>3895</v>
      </c>
      <c r="H3258" s="8" t="s">
        <v>5159</v>
      </c>
      <c r="I3258" s="3">
        <v>22</v>
      </c>
      <c r="J3258" s="3" t="s">
        <v>6119</v>
      </c>
      <c r="K3258" s="17" t="str">
        <f>HYPERLINK("http://ictvonline.org/taxonomyHistory.asp?taxnode_id=20173449","ICTVonline=20173449")</f>
        <v>ICTVonline=20173449</v>
      </c>
      <c r="L3258" s="3">
        <v>3257</v>
      </c>
    </row>
    <row r="3259" spans="1:12" x14ac:dyDescent="0.15">
      <c r="A3259" s="1" t="s">
        <v>908</v>
      </c>
      <c r="B3259" s="1" t="s">
        <v>2110</v>
      </c>
      <c r="D3259" s="1" t="s">
        <v>2111</v>
      </c>
      <c r="E3259" s="1" t="s">
        <v>1551</v>
      </c>
      <c r="F3259" s="3">
        <v>0</v>
      </c>
      <c r="G3259" s="8" t="s">
        <v>3895</v>
      </c>
      <c r="H3259" s="8" t="s">
        <v>5159</v>
      </c>
      <c r="I3259" s="3">
        <v>24</v>
      </c>
      <c r="J3259" s="3" t="s">
        <v>6103</v>
      </c>
      <c r="K3259" s="17" t="str">
        <f>HYPERLINK("http://ictvonline.org/taxonomyHistory.asp?taxnode_id=20173450","ICTVonline=20173450")</f>
        <v>ICTVonline=20173450</v>
      </c>
      <c r="L3259" s="3">
        <v>3258</v>
      </c>
    </row>
    <row r="3260" spans="1:12" x14ac:dyDescent="0.15">
      <c r="A3260" s="1" t="s">
        <v>908</v>
      </c>
      <c r="B3260" s="1" t="s">
        <v>2110</v>
      </c>
      <c r="D3260" s="1" t="s">
        <v>2111</v>
      </c>
      <c r="E3260" s="1" t="s">
        <v>3963</v>
      </c>
      <c r="F3260" s="3">
        <v>0</v>
      </c>
      <c r="G3260" s="8" t="s">
        <v>3895</v>
      </c>
      <c r="H3260" s="8" t="s">
        <v>5159</v>
      </c>
      <c r="I3260" s="3">
        <v>30</v>
      </c>
      <c r="J3260" s="3" t="s">
        <v>6099</v>
      </c>
      <c r="K3260" s="17" t="str">
        <f>HYPERLINK("http://ictvonline.org/taxonomyHistory.asp?taxnode_id=20173451","ICTVonline=20173451")</f>
        <v>ICTVonline=20173451</v>
      </c>
      <c r="L3260" s="3">
        <v>3259</v>
      </c>
    </row>
    <row r="3261" spans="1:12" x14ac:dyDescent="0.15">
      <c r="A3261" s="1" t="s">
        <v>908</v>
      </c>
      <c r="B3261" s="1" t="s">
        <v>2110</v>
      </c>
      <c r="D3261" s="1" t="s">
        <v>2111</v>
      </c>
      <c r="E3261" s="1" t="s">
        <v>1552</v>
      </c>
      <c r="F3261" s="3">
        <v>0</v>
      </c>
      <c r="G3261" s="8" t="s">
        <v>3895</v>
      </c>
      <c r="H3261" s="8" t="s">
        <v>5159</v>
      </c>
      <c r="I3261" s="3">
        <v>24</v>
      </c>
      <c r="J3261" s="3" t="s">
        <v>6103</v>
      </c>
      <c r="K3261" s="17" t="str">
        <f>HYPERLINK("http://ictvonline.org/taxonomyHistory.asp?taxnode_id=20173452","ICTVonline=20173452")</f>
        <v>ICTVonline=20173452</v>
      </c>
      <c r="L3261" s="3">
        <v>3260</v>
      </c>
    </row>
    <row r="3262" spans="1:12" x14ac:dyDescent="0.15">
      <c r="A3262" s="1" t="s">
        <v>908</v>
      </c>
      <c r="B3262" s="1" t="s">
        <v>2110</v>
      </c>
      <c r="D3262" s="1" t="s">
        <v>2111</v>
      </c>
      <c r="E3262" s="1" t="s">
        <v>1553</v>
      </c>
      <c r="F3262" s="3">
        <v>0</v>
      </c>
      <c r="G3262" s="8" t="s">
        <v>3895</v>
      </c>
      <c r="H3262" s="8" t="s">
        <v>5159</v>
      </c>
      <c r="I3262" s="3">
        <v>24</v>
      </c>
      <c r="J3262" s="3" t="s">
        <v>6103</v>
      </c>
      <c r="K3262" s="17" t="str">
        <f>HYPERLINK("http://ictvonline.org/taxonomyHistory.asp?taxnode_id=20173453","ICTVonline=20173453")</f>
        <v>ICTVonline=20173453</v>
      </c>
      <c r="L3262" s="3">
        <v>3261</v>
      </c>
    </row>
    <row r="3263" spans="1:12" x14ac:dyDescent="0.15">
      <c r="A3263" s="1" t="s">
        <v>908</v>
      </c>
      <c r="B3263" s="1" t="s">
        <v>2110</v>
      </c>
      <c r="D3263" s="1" t="s">
        <v>2111</v>
      </c>
      <c r="E3263" s="1" t="s">
        <v>1554</v>
      </c>
      <c r="F3263" s="3">
        <v>0</v>
      </c>
      <c r="G3263" s="8" t="s">
        <v>3895</v>
      </c>
      <c r="H3263" s="8" t="s">
        <v>5159</v>
      </c>
      <c r="I3263" s="3">
        <v>22</v>
      </c>
      <c r="J3263" s="3" t="s">
        <v>6101</v>
      </c>
      <c r="K3263" s="17" t="str">
        <f>HYPERLINK("http://ictvonline.org/taxonomyHistory.asp?taxnode_id=20173454","ICTVonline=20173454")</f>
        <v>ICTVonline=20173454</v>
      </c>
      <c r="L3263" s="3">
        <v>3262</v>
      </c>
    </row>
    <row r="3264" spans="1:12" x14ac:dyDescent="0.15">
      <c r="A3264" s="1" t="s">
        <v>908</v>
      </c>
      <c r="B3264" s="1" t="s">
        <v>2110</v>
      </c>
      <c r="D3264" s="1" t="s">
        <v>2111</v>
      </c>
      <c r="E3264" s="1" t="s">
        <v>1555</v>
      </c>
      <c r="F3264" s="3">
        <v>0</v>
      </c>
      <c r="G3264" s="8" t="s">
        <v>3895</v>
      </c>
      <c r="H3264" s="8" t="s">
        <v>5159</v>
      </c>
      <c r="I3264" s="3">
        <v>23</v>
      </c>
      <c r="J3264" s="3" t="s">
        <v>6020</v>
      </c>
      <c r="K3264" s="17" t="str">
        <f>HYPERLINK("http://ictvonline.org/taxonomyHistory.asp?taxnode_id=20173455","ICTVonline=20173455")</f>
        <v>ICTVonline=20173455</v>
      </c>
      <c r="L3264" s="3">
        <v>3263</v>
      </c>
    </row>
    <row r="3265" spans="1:12" x14ac:dyDescent="0.15">
      <c r="A3265" s="1" t="s">
        <v>908</v>
      </c>
      <c r="B3265" s="1" t="s">
        <v>2110</v>
      </c>
      <c r="D3265" s="1" t="s">
        <v>2111</v>
      </c>
      <c r="E3265" s="1" t="s">
        <v>3964</v>
      </c>
      <c r="F3265" s="3">
        <v>0</v>
      </c>
      <c r="G3265" s="8" t="s">
        <v>3895</v>
      </c>
      <c r="H3265" s="8" t="s">
        <v>5159</v>
      </c>
      <c r="I3265" s="3">
        <v>30</v>
      </c>
      <c r="J3265" s="3" t="s">
        <v>6099</v>
      </c>
      <c r="K3265" s="17" t="str">
        <f>HYPERLINK("http://ictvonline.org/taxonomyHistory.asp?taxnode_id=20173456","ICTVonline=20173456")</f>
        <v>ICTVonline=20173456</v>
      </c>
      <c r="L3265" s="3">
        <v>3264</v>
      </c>
    </row>
    <row r="3266" spans="1:12" x14ac:dyDescent="0.15">
      <c r="A3266" s="1" t="s">
        <v>908</v>
      </c>
      <c r="B3266" s="1" t="s">
        <v>2110</v>
      </c>
      <c r="D3266" s="1" t="s">
        <v>2111</v>
      </c>
      <c r="E3266" s="1" t="s">
        <v>1556</v>
      </c>
      <c r="F3266" s="3">
        <v>0</v>
      </c>
      <c r="G3266" s="8" t="s">
        <v>3895</v>
      </c>
      <c r="H3266" s="8" t="s">
        <v>5162</v>
      </c>
      <c r="I3266" s="3">
        <v>23</v>
      </c>
      <c r="J3266" s="3" t="s">
        <v>6020</v>
      </c>
      <c r="K3266" s="17" t="str">
        <f>HYPERLINK("http://ictvonline.org/taxonomyHistory.asp?taxnode_id=20173457","ICTVonline=20173457")</f>
        <v>ICTVonline=20173457</v>
      </c>
      <c r="L3266" s="3">
        <v>3265</v>
      </c>
    </row>
    <row r="3267" spans="1:12" x14ac:dyDescent="0.15">
      <c r="A3267" s="1" t="s">
        <v>908</v>
      </c>
      <c r="B3267" s="1" t="s">
        <v>2110</v>
      </c>
      <c r="D3267" s="1" t="s">
        <v>2111</v>
      </c>
      <c r="E3267" s="1" t="s">
        <v>2480</v>
      </c>
      <c r="F3267" s="3">
        <v>0</v>
      </c>
      <c r="G3267" s="8" t="s">
        <v>3895</v>
      </c>
      <c r="H3267" s="8" t="s">
        <v>5159</v>
      </c>
      <c r="I3267" s="3">
        <v>28</v>
      </c>
      <c r="J3267" s="3" t="s">
        <v>6100</v>
      </c>
      <c r="K3267" s="17" t="str">
        <f>HYPERLINK("http://ictvonline.org/taxonomyHistory.asp?taxnode_id=20173458","ICTVonline=20173458")</f>
        <v>ICTVonline=20173458</v>
      </c>
      <c r="L3267" s="3">
        <v>3266</v>
      </c>
    </row>
    <row r="3268" spans="1:12" x14ac:dyDescent="0.15">
      <c r="A3268" s="1" t="s">
        <v>908</v>
      </c>
      <c r="B3268" s="1" t="s">
        <v>2110</v>
      </c>
      <c r="D3268" s="1" t="s">
        <v>2111</v>
      </c>
      <c r="E3268" s="1" t="s">
        <v>1557</v>
      </c>
      <c r="F3268" s="3">
        <v>0</v>
      </c>
      <c r="G3268" s="8" t="s">
        <v>3895</v>
      </c>
      <c r="H3268" s="8" t="s">
        <v>5159</v>
      </c>
      <c r="I3268" s="3">
        <v>24</v>
      </c>
      <c r="J3268" s="3" t="s">
        <v>6107</v>
      </c>
      <c r="K3268" s="17" t="str">
        <f>HYPERLINK("http://ictvonline.org/taxonomyHistory.asp?taxnode_id=20173459","ICTVonline=20173459")</f>
        <v>ICTVonline=20173459</v>
      </c>
      <c r="L3268" s="3">
        <v>3267</v>
      </c>
    </row>
    <row r="3269" spans="1:12" x14ac:dyDescent="0.15">
      <c r="A3269" s="1" t="s">
        <v>908</v>
      </c>
      <c r="B3269" s="1" t="s">
        <v>2110</v>
      </c>
      <c r="D3269" s="1" t="s">
        <v>2111</v>
      </c>
      <c r="E3269" s="1" t="s">
        <v>1558</v>
      </c>
      <c r="F3269" s="3">
        <v>0</v>
      </c>
      <c r="G3269" s="8" t="s">
        <v>3895</v>
      </c>
      <c r="H3269" s="8" t="s">
        <v>5159</v>
      </c>
      <c r="I3269" s="3">
        <v>22</v>
      </c>
      <c r="J3269" s="3" t="s">
        <v>6101</v>
      </c>
      <c r="K3269" s="17" t="str">
        <f>HYPERLINK("http://ictvonline.org/taxonomyHistory.asp?taxnode_id=20173460","ICTVonline=20173460")</f>
        <v>ICTVonline=20173460</v>
      </c>
      <c r="L3269" s="3">
        <v>3268</v>
      </c>
    </row>
    <row r="3270" spans="1:12" x14ac:dyDescent="0.15">
      <c r="A3270" s="1" t="s">
        <v>908</v>
      </c>
      <c r="B3270" s="1" t="s">
        <v>2110</v>
      </c>
      <c r="D3270" s="1" t="s">
        <v>2111</v>
      </c>
      <c r="E3270" s="1" t="s">
        <v>1559</v>
      </c>
      <c r="F3270" s="3">
        <v>0</v>
      </c>
      <c r="G3270" s="8" t="s">
        <v>3895</v>
      </c>
      <c r="H3270" s="8" t="s">
        <v>5171</v>
      </c>
      <c r="I3270" s="3">
        <v>24</v>
      </c>
      <c r="J3270" s="3" t="s">
        <v>6104</v>
      </c>
      <c r="K3270" s="17" t="str">
        <f>HYPERLINK("http://ictvonline.org/taxonomyHistory.asp?taxnode_id=20173461","ICTVonline=20173461")</f>
        <v>ICTVonline=20173461</v>
      </c>
      <c r="L3270" s="3">
        <v>3269</v>
      </c>
    </row>
    <row r="3271" spans="1:12" x14ac:dyDescent="0.15">
      <c r="A3271" s="1" t="s">
        <v>908</v>
      </c>
      <c r="B3271" s="1" t="s">
        <v>2110</v>
      </c>
      <c r="D3271" s="1" t="s">
        <v>2111</v>
      </c>
      <c r="E3271" s="1" t="s">
        <v>2481</v>
      </c>
      <c r="F3271" s="3">
        <v>0</v>
      </c>
      <c r="G3271" s="8" t="s">
        <v>3895</v>
      </c>
      <c r="H3271" s="8" t="s">
        <v>5159</v>
      </c>
      <c r="I3271" s="3">
        <v>28</v>
      </c>
      <c r="J3271" s="3" t="s">
        <v>6100</v>
      </c>
      <c r="K3271" s="17" t="str">
        <f>HYPERLINK("http://ictvonline.org/taxonomyHistory.asp?taxnode_id=20173462","ICTVonline=20173462")</f>
        <v>ICTVonline=20173462</v>
      </c>
      <c r="L3271" s="3">
        <v>3270</v>
      </c>
    </row>
    <row r="3272" spans="1:12" x14ac:dyDescent="0.15">
      <c r="A3272" s="1" t="s">
        <v>908</v>
      </c>
      <c r="B3272" s="1" t="s">
        <v>2110</v>
      </c>
      <c r="D3272" s="1" t="s">
        <v>2111</v>
      </c>
      <c r="E3272" s="1" t="s">
        <v>2482</v>
      </c>
      <c r="F3272" s="3">
        <v>0</v>
      </c>
      <c r="G3272" s="8" t="s">
        <v>3895</v>
      </c>
      <c r="H3272" s="8" t="s">
        <v>5159</v>
      </c>
      <c r="I3272" s="3">
        <v>28</v>
      </c>
      <c r="J3272" s="3" t="s">
        <v>6100</v>
      </c>
      <c r="K3272" s="17" t="str">
        <f>HYPERLINK("http://ictvonline.org/taxonomyHistory.asp?taxnode_id=20173463","ICTVonline=20173463")</f>
        <v>ICTVonline=20173463</v>
      </c>
      <c r="L3272" s="3">
        <v>3271</v>
      </c>
    </row>
    <row r="3273" spans="1:12" x14ac:dyDescent="0.15">
      <c r="A3273" s="1" t="s">
        <v>908</v>
      </c>
      <c r="B3273" s="1" t="s">
        <v>2110</v>
      </c>
      <c r="D3273" s="1" t="s">
        <v>2111</v>
      </c>
      <c r="E3273" s="1" t="s">
        <v>2483</v>
      </c>
      <c r="F3273" s="3">
        <v>0</v>
      </c>
      <c r="G3273" s="8" t="s">
        <v>3895</v>
      </c>
      <c r="H3273" s="8" t="s">
        <v>5159</v>
      </c>
      <c r="I3273" s="3">
        <v>28</v>
      </c>
      <c r="J3273" s="3" t="s">
        <v>6100</v>
      </c>
      <c r="K3273" s="17" t="str">
        <f>HYPERLINK("http://ictvonline.org/taxonomyHistory.asp?taxnode_id=20173464","ICTVonline=20173464")</f>
        <v>ICTVonline=20173464</v>
      </c>
      <c r="L3273" s="3">
        <v>3272</v>
      </c>
    </row>
    <row r="3274" spans="1:12" x14ac:dyDescent="0.15">
      <c r="A3274" s="1" t="s">
        <v>908</v>
      </c>
      <c r="B3274" s="1" t="s">
        <v>2110</v>
      </c>
      <c r="D3274" s="1" t="s">
        <v>2111</v>
      </c>
      <c r="E3274" s="1" t="s">
        <v>1560</v>
      </c>
      <c r="F3274" s="3">
        <v>0</v>
      </c>
      <c r="G3274" s="8" t="s">
        <v>3895</v>
      </c>
      <c r="H3274" s="8" t="s">
        <v>5159</v>
      </c>
      <c r="I3274" s="3">
        <v>24</v>
      </c>
      <c r="J3274" s="3" t="s">
        <v>6102</v>
      </c>
      <c r="K3274" s="17" t="str">
        <f>HYPERLINK("http://ictvonline.org/taxonomyHistory.asp?taxnode_id=20173465","ICTVonline=20173465")</f>
        <v>ICTVonline=20173465</v>
      </c>
      <c r="L3274" s="3">
        <v>3273</v>
      </c>
    </row>
    <row r="3275" spans="1:12" x14ac:dyDescent="0.15">
      <c r="A3275" s="1" t="s">
        <v>908</v>
      </c>
      <c r="B3275" s="1" t="s">
        <v>2110</v>
      </c>
      <c r="D3275" s="1" t="s">
        <v>2111</v>
      </c>
      <c r="E3275" s="1" t="s">
        <v>1561</v>
      </c>
      <c r="F3275" s="3">
        <v>0</v>
      </c>
      <c r="G3275" s="8" t="s">
        <v>3895</v>
      </c>
      <c r="H3275" s="8" t="s">
        <v>5159</v>
      </c>
      <c r="I3275" s="3">
        <v>22</v>
      </c>
      <c r="J3275" s="3" t="s">
        <v>6101</v>
      </c>
      <c r="K3275" s="17" t="str">
        <f>HYPERLINK("http://ictvonline.org/taxonomyHistory.asp?taxnode_id=20173466","ICTVonline=20173466")</f>
        <v>ICTVonline=20173466</v>
      </c>
      <c r="L3275" s="3">
        <v>3274</v>
      </c>
    </row>
    <row r="3276" spans="1:12" x14ac:dyDescent="0.15">
      <c r="A3276" s="1" t="s">
        <v>908</v>
      </c>
      <c r="B3276" s="1" t="s">
        <v>2110</v>
      </c>
      <c r="D3276" s="1" t="s">
        <v>2111</v>
      </c>
      <c r="E3276" s="1" t="s">
        <v>2484</v>
      </c>
      <c r="F3276" s="3">
        <v>0</v>
      </c>
      <c r="G3276" s="8" t="s">
        <v>3895</v>
      </c>
      <c r="H3276" s="8" t="s">
        <v>5159</v>
      </c>
      <c r="I3276" s="3">
        <v>28</v>
      </c>
      <c r="J3276" s="3" t="s">
        <v>6100</v>
      </c>
      <c r="K3276" s="17" t="str">
        <f>HYPERLINK("http://ictvonline.org/taxonomyHistory.asp?taxnode_id=20173467","ICTVonline=20173467")</f>
        <v>ICTVonline=20173467</v>
      </c>
      <c r="L3276" s="3">
        <v>3275</v>
      </c>
    </row>
    <row r="3277" spans="1:12" x14ac:dyDescent="0.15">
      <c r="A3277" s="1" t="s">
        <v>908</v>
      </c>
      <c r="B3277" s="1" t="s">
        <v>2110</v>
      </c>
      <c r="D3277" s="1" t="s">
        <v>2111</v>
      </c>
      <c r="E3277" s="1" t="s">
        <v>1880</v>
      </c>
      <c r="F3277" s="3">
        <v>0</v>
      </c>
      <c r="G3277" s="8" t="s">
        <v>3895</v>
      </c>
      <c r="H3277" s="8" t="s">
        <v>5162</v>
      </c>
      <c r="I3277" s="3">
        <v>23</v>
      </c>
      <c r="J3277" s="3" t="s">
        <v>6020</v>
      </c>
      <c r="K3277" s="17" t="str">
        <f>HYPERLINK("http://ictvonline.org/taxonomyHistory.asp?taxnode_id=20173468","ICTVonline=20173468")</f>
        <v>ICTVonline=20173468</v>
      </c>
      <c r="L3277" s="3">
        <v>3276</v>
      </c>
    </row>
    <row r="3278" spans="1:12" x14ac:dyDescent="0.15">
      <c r="A3278" s="1" t="s">
        <v>908</v>
      </c>
      <c r="B3278" s="1" t="s">
        <v>2110</v>
      </c>
      <c r="D3278" s="1" t="s">
        <v>2111</v>
      </c>
      <c r="E3278" s="1" t="s">
        <v>1881</v>
      </c>
      <c r="F3278" s="3">
        <v>0</v>
      </c>
      <c r="G3278" s="8" t="s">
        <v>3895</v>
      </c>
      <c r="H3278" s="8" t="s">
        <v>5161</v>
      </c>
      <c r="I3278" s="3">
        <v>16</v>
      </c>
      <c r="J3278" s="3" t="s">
        <v>6032</v>
      </c>
      <c r="K3278" s="17" t="str">
        <f>HYPERLINK("http://ictvonline.org/taxonomyHistory.asp?taxnode_id=20173469","ICTVonline=20173469")</f>
        <v>ICTVonline=20173469</v>
      </c>
      <c r="L3278" s="3">
        <v>3277</v>
      </c>
    </row>
    <row r="3279" spans="1:12" x14ac:dyDescent="0.15">
      <c r="A3279" s="1" t="s">
        <v>908</v>
      </c>
      <c r="B3279" s="1" t="s">
        <v>2110</v>
      </c>
      <c r="D3279" s="1" t="s">
        <v>2111</v>
      </c>
      <c r="E3279" s="1" t="s">
        <v>6166</v>
      </c>
      <c r="F3279" s="3">
        <v>0</v>
      </c>
      <c r="G3279" s="8" t="s">
        <v>3895</v>
      </c>
      <c r="H3279" s="8" t="s">
        <v>5159</v>
      </c>
      <c r="I3279" s="3">
        <v>32</v>
      </c>
      <c r="J3279" s="3" t="s">
        <v>6106</v>
      </c>
      <c r="K3279" s="17" t="str">
        <f>HYPERLINK("http://ictvonline.org/taxonomyHistory.asp?taxnode_id=20175839","ICTVonline=20175839")</f>
        <v>ICTVonline=20175839</v>
      </c>
      <c r="L3279" s="3">
        <v>3278</v>
      </c>
    </row>
    <row r="3280" spans="1:12" x14ac:dyDescent="0.15">
      <c r="A3280" s="1" t="s">
        <v>908</v>
      </c>
      <c r="B3280" s="1" t="s">
        <v>2110</v>
      </c>
      <c r="D3280" s="1" t="s">
        <v>2111</v>
      </c>
      <c r="E3280" s="1" t="s">
        <v>1882</v>
      </c>
      <c r="F3280" s="3">
        <v>0</v>
      </c>
      <c r="G3280" s="8" t="s">
        <v>3895</v>
      </c>
      <c r="H3280" s="8" t="s">
        <v>5159</v>
      </c>
      <c r="I3280" s="3">
        <v>22</v>
      </c>
      <c r="J3280" s="3" t="s">
        <v>6101</v>
      </c>
      <c r="K3280" s="17" t="str">
        <f>HYPERLINK("http://ictvonline.org/taxonomyHistory.asp?taxnode_id=20173470","ICTVonline=20173470")</f>
        <v>ICTVonline=20173470</v>
      </c>
      <c r="L3280" s="3">
        <v>3279</v>
      </c>
    </row>
    <row r="3281" spans="1:12" x14ac:dyDescent="0.15">
      <c r="A3281" s="1" t="s">
        <v>908</v>
      </c>
      <c r="B3281" s="1" t="s">
        <v>2110</v>
      </c>
      <c r="D3281" s="1" t="s">
        <v>2111</v>
      </c>
      <c r="E3281" s="1" t="s">
        <v>2485</v>
      </c>
      <c r="F3281" s="3">
        <v>0</v>
      </c>
      <c r="G3281" s="8" t="s">
        <v>3895</v>
      </c>
      <c r="H3281" s="8" t="s">
        <v>5159</v>
      </c>
      <c r="I3281" s="3">
        <v>28</v>
      </c>
      <c r="J3281" s="3" t="s">
        <v>6100</v>
      </c>
      <c r="K3281" s="17" t="str">
        <f>HYPERLINK("http://ictvonline.org/taxonomyHistory.asp?taxnode_id=20173471","ICTVonline=20173471")</f>
        <v>ICTVonline=20173471</v>
      </c>
      <c r="L3281" s="3">
        <v>3280</v>
      </c>
    </row>
    <row r="3282" spans="1:12" x14ac:dyDescent="0.15">
      <c r="A3282" s="1" t="s">
        <v>908</v>
      </c>
      <c r="B3282" s="1" t="s">
        <v>2110</v>
      </c>
      <c r="D3282" s="1" t="s">
        <v>2111</v>
      </c>
      <c r="E3282" s="1" t="s">
        <v>1883</v>
      </c>
      <c r="F3282" s="3">
        <v>0</v>
      </c>
      <c r="G3282" s="8" t="s">
        <v>3895</v>
      </c>
      <c r="H3282" s="8" t="s">
        <v>5159</v>
      </c>
      <c r="I3282" s="3">
        <v>17</v>
      </c>
      <c r="J3282" s="3" t="s">
        <v>5970</v>
      </c>
      <c r="K3282" s="17" t="str">
        <f>HYPERLINK("http://ictvonline.org/taxonomyHistory.asp?taxnode_id=20173472","ICTVonline=20173472")</f>
        <v>ICTVonline=20173472</v>
      </c>
      <c r="L3282" s="3">
        <v>3281</v>
      </c>
    </row>
    <row r="3283" spans="1:12" x14ac:dyDescent="0.15">
      <c r="A3283" s="1" t="s">
        <v>908</v>
      </c>
      <c r="B3283" s="1" t="s">
        <v>2110</v>
      </c>
      <c r="D3283" s="1" t="s">
        <v>2111</v>
      </c>
      <c r="E3283" s="1" t="s">
        <v>1884</v>
      </c>
      <c r="F3283" s="3">
        <v>0</v>
      </c>
      <c r="G3283" s="8" t="s">
        <v>3895</v>
      </c>
      <c r="H3283" s="8" t="s">
        <v>5159</v>
      </c>
      <c r="I3283" s="3">
        <v>22</v>
      </c>
      <c r="J3283" s="3" t="s">
        <v>6101</v>
      </c>
      <c r="K3283" s="17" t="str">
        <f>HYPERLINK("http://ictvonline.org/taxonomyHistory.asp?taxnode_id=20173473","ICTVonline=20173473")</f>
        <v>ICTVonline=20173473</v>
      </c>
      <c r="L3283" s="3">
        <v>3282</v>
      </c>
    </row>
    <row r="3284" spans="1:12" x14ac:dyDescent="0.15">
      <c r="A3284" s="1" t="s">
        <v>908</v>
      </c>
      <c r="B3284" s="1" t="s">
        <v>2110</v>
      </c>
      <c r="D3284" s="1" t="s">
        <v>2111</v>
      </c>
      <c r="E3284" s="1" t="s">
        <v>1885</v>
      </c>
      <c r="F3284" s="3">
        <v>0</v>
      </c>
      <c r="G3284" s="8" t="s">
        <v>3895</v>
      </c>
      <c r="H3284" s="8" t="s">
        <v>5159</v>
      </c>
      <c r="I3284" s="3">
        <v>24</v>
      </c>
      <c r="J3284" s="3" t="s">
        <v>6102</v>
      </c>
      <c r="K3284" s="17" t="str">
        <f>HYPERLINK("http://ictvonline.org/taxonomyHistory.asp?taxnode_id=20173474","ICTVonline=20173474")</f>
        <v>ICTVonline=20173474</v>
      </c>
      <c r="L3284" s="3">
        <v>3283</v>
      </c>
    </row>
    <row r="3285" spans="1:12" x14ac:dyDescent="0.15">
      <c r="A3285" s="1" t="s">
        <v>908</v>
      </c>
      <c r="B3285" s="1" t="s">
        <v>2110</v>
      </c>
      <c r="D3285" s="1" t="s">
        <v>2111</v>
      </c>
      <c r="E3285" s="1" t="s">
        <v>1886</v>
      </c>
      <c r="F3285" s="3">
        <v>0</v>
      </c>
      <c r="G3285" s="8" t="s">
        <v>3895</v>
      </c>
      <c r="H3285" s="8" t="s">
        <v>5162</v>
      </c>
      <c r="I3285" s="3">
        <v>23</v>
      </c>
      <c r="J3285" s="3" t="s">
        <v>6020</v>
      </c>
      <c r="K3285" s="17" t="str">
        <f>HYPERLINK("http://ictvonline.org/taxonomyHistory.asp?taxnode_id=20173475","ICTVonline=20173475")</f>
        <v>ICTVonline=20173475</v>
      </c>
      <c r="L3285" s="3">
        <v>3284</v>
      </c>
    </row>
    <row r="3286" spans="1:12" x14ac:dyDescent="0.15">
      <c r="A3286" s="1" t="s">
        <v>908</v>
      </c>
      <c r="B3286" s="1" t="s">
        <v>2110</v>
      </c>
      <c r="D3286" s="1" t="s">
        <v>2111</v>
      </c>
      <c r="E3286" s="1" t="s">
        <v>1887</v>
      </c>
      <c r="F3286" s="3">
        <v>0</v>
      </c>
      <c r="G3286" s="8" t="s">
        <v>3895</v>
      </c>
      <c r="H3286" s="8" t="s">
        <v>5159</v>
      </c>
      <c r="I3286" s="3">
        <v>24</v>
      </c>
      <c r="J3286" s="3" t="s">
        <v>6102</v>
      </c>
      <c r="K3286" s="17" t="str">
        <f>HYPERLINK("http://ictvonline.org/taxonomyHistory.asp?taxnode_id=20173476","ICTVonline=20173476")</f>
        <v>ICTVonline=20173476</v>
      </c>
      <c r="L3286" s="3">
        <v>3285</v>
      </c>
    </row>
    <row r="3287" spans="1:12" x14ac:dyDescent="0.15">
      <c r="A3287" s="1" t="s">
        <v>908</v>
      </c>
      <c r="B3287" s="1" t="s">
        <v>2110</v>
      </c>
      <c r="D3287" s="1" t="s">
        <v>2111</v>
      </c>
      <c r="E3287" s="1" t="s">
        <v>872</v>
      </c>
      <c r="F3287" s="3">
        <v>0</v>
      </c>
      <c r="G3287" s="8" t="s">
        <v>3895</v>
      </c>
      <c r="H3287" s="8" t="s">
        <v>5159</v>
      </c>
      <c r="I3287" s="3">
        <v>24</v>
      </c>
      <c r="J3287" s="3" t="s">
        <v>6103</v>
      </c>
      <c r="K3287" s="17" t="str">
        <f>HYPERLINK("http://ictvonline.org/taxonomyHistory.asp?taxnode_id=20173477","ICTVonline=20173477")</f>
        <v>ICTVonline=20173477</v>
      </c>
      <c r="L3287" s="3">
        <v>3286</v>
      </c>
    </row>
    <row r="3288" spans="1:12" x14ac:dyDescent="0.15">
      <c r="A3288" s="1" t="s">
        <v>908</v>
      </c>
      <c r="B3288" s="1" t="s">
        <v>2110</v>
      </c>
      <c r="D3288" s="1" t="s">
        <v>2111</v>
      </c>
      <c r="E3288" s="1" t="s">
        <v>873</v>
      </c>
      <c r="F3288" s="3">
        <v>0</v>
      </c>
      <c r="G3288" s="8" t="s">
        <v>3895</v>
      </c>
      <c r="H3288" s="8" t="s">
        <v>5159</v>
      </c>
      <c r="I3288" s="3">
        <v>23</v>
      </c>
      <c r="J3288" s="3" t="s">
        <v>6020</v>
      </c>
      <c r="K3288" s="17" t="str">
        <f>HYPERLINK("http://ictvonline.org/taxonomyHistory.asp?taxnode_id=20173478","ICTVonline=20173478")</f>
        <v>ICTVonline=20173478</v>
      </c>
      <c r="L3288" s="3">
        <v>3287</v>
      </c>
    </row>
    <row r="3289" spans="1:12" x14ac:dyDescent="0.15">
      <c r="A3289" s="1" t="s">
        <v>908</v>
      </c>
      <c r="B3289" s="1" t="s">
        <v>2110</v>
      </c>
      <c r="D3289" s="1" t="s">
        <v>2111</v>
      </c>
      <c r="E3289" s="1" t="s">
        <v>1888</v>
      </c>
      <c r="F3289" s="3">
        <v>0</v>
      </c>
      <c r="G3289" s="8" t="s">
        <v>3895</v>
      </c>
      <c r="H3289" s="8" t="s">
        <v>5159</v>
      </c>
      <c r="I3289" s="3">
        <v>23</v>
      </c>
      <c r="J3289" s="3" t="s">
        <v>6020</v>
      </c>
      <c r="K3289" s="17" t="str">
        <f>HYPERLINK("http://ictvonline.org/taxonomyHistory.asp?taxnode_id=20173479","ICTVonline=20173479")</f>
        <v>ICTVonline=20173479</v>
      </c>
      <c r="L3289" s="3">
        <v>3288</v>
      </c>
    </row>
    <row r="3290" spans="1:12" x14ac:dyDescent="0.15">
      <c r="A3290" s="1" t="s">
        <v>908</v>
      </c>
      <c r="B3290" s="1" t="s">
        <v>2110</v>
      </c>
      <c r="D3290" s="1" t="s">
        <v>2111</v>
      </c>
      <c r="E3290" s="1" t="s">
        <v>1957</v>
      </c>
      <c r="F3290" s="3">
        <v>0</v>
      </c>
      <c r="G3290" s="8" t="s">
        <v>3895</v>
      </c>
      <c r="H3290" s="8" t="s">
        <v>5159</v>
      </c>
      <c r="I3290" s="3">
        <v>24</v>
      </c>
      <c r="J3290" s="3" t="s">
        <v>6102</v>
      </c>
      <c r="K3290" s="17" t="str">
        <f>HYPERLINK("http://ictvonline.org/taxonomyHistory.asp?taxnode_id=20173480","ICTVonline=20173480")</f>
        <v>ICTVonline=20173480</v>
      </c>
      <c r="L3290" s="3">
        <v>3289</v>
      </c>
    </row>
    <row r="3291" spans="1:12" x14ac:dyDescent="0.15">
      <c r="A3291" s="1" t="s">
        <v>908</v>
      </c>
      <c r="B3291" s="1" t="s">
        <v>2110</v>
      </c>
      <c r="D3291" s="1" t="s">
        <v>2111</v>
      </c>
      <c r="E3291" s="1" t="s">
        <v>816</v>
      </c>
      <c r="F3291" s="3">
        <v>0</v>
      </c>
      <c r="G3291" s="8" t="s">
        <v>3895</v>
      </c>
      <c r="H3291" s="8" t="s">
        <v>5162</v>
      </c>
      <c r="I3291" s="3">
        <v>23</v>
      </c>
      <c r="J3291" s="3" t="s">
        <v>6020</v>
      </c>
      <c r="K3291" s="17" t="str">
        <f>HYPERLINK("http://ictvonline.org/taxonomyHistory.asp?taxnode_id=20173481","ICTVonline=20173481")</f>
        <v>ICTVonline=20173481</v>
      </c>
      <c r="L3291" s="3">
        <v>3290</v>
      </c>
    </row>
    <row r="3292" spans="1:12" x14ac:dyDescent="0.15">
      <c r="A3292" s="1" t="s">
        <v>908</v>
      </c>
      <c r="B3292" s="1" t="s">
        <v>2110</v>
      </c>
      <c r="D3292" s="1" t="s">
        <v>2111</v>
      </c>
      <c r="E3292" s="1" t="s">
        <v>6167</v>
      </c>
      <c r="F3292" s="3">
        <v>0</v>
      </c>
      <c r="G3292" s="8" t="s">
        <v>3895</v>
      </c>
      <c r="H3292" s="8" t="s">
        <v>5159</v>
      </c>
      <c r="I3292" s="3">
        <v>32</v>
      </c>
      <c r="J3292" s="3" t="s">
        <v>6106</v>
      </c>
      <c r="K3292" s="17" t="str">
        <f>HYPERLINK("http://ictvonline.org/taxonomyHistory.asp?taxnode_id=20175840","ICTVonline=20175840")</f>
        <v>ICTVonline=20175840</v>
      </c>
      <c r="L3292" s="3">
        <v>3291</v>
      </c>
    </row>
    <row r="3293" spans="1:12" x14ac:dyDescent="0.15">
      <c r="A3293" s="1" t="s">
        <v>908</v>
      </c>
      <c r="B3293" s="1" t="s">
        <v>2110</v>
      </c>
      <c r="D3293" s="1" t="s">
        <v>2111</v>
      </c>
      <c r="E3293" s="1" t="s">
        <v>817</v>
      </c>
      <c r="F3293" s="3">
        <v>0</v>
      </c>
      <c r="G3293" s="8" t="s">
        <v>3895</v>
      </c>
      <c r="H3293" s="8" t="s">
        <v>5162</v>
      </c>
      <c r="I3293" s="3">
        <v>23</v>
      </c>
      <c r="J3293" s="3" t="s">
        <v>6020</v>
      </c>
      <c r="K3293" s="17" t="str">
        <f>HYPERLINK("http://ictvonline.org/taxonomyHistory.asp?taxnode_id=20173482","ICTVonline=20173482")</f>
        <v>ICTVonline=20173482</v>
      </c>
      <c r="L3293" s="3">
        <v>3292</v>
      </c>
    </row>
    <row r="3294" spans="1:12" x14ac:dyDescent="0.15">
      <c r="A3294" s="1" t="s">
        <v>908</v>
      </c>
      <c r="B3294" s="1" t="s">
        <v>2110</v>
      </c>
      <c r="D3294" s="1" t="s">
        <v>2111</v>
      </c>
      <c r="E3294" s="1" t="s">
        <v>818</v>
      </c>
      <c r="F3294" s="3">
        <v>0</v>
      </c>
      <c r="G3294" s="8" t="s">
        <v>3895</v>
      </c>
      <c r="H3294" s="8" t="s">
        <v>5159</v>
      </c>
      <c r="I3294" s="3">
        <v>24</v>
      </c>
      <c r="J3294" s="3" t="s">
        <v>6103</v>
      </c>
      <c r="K3294" s="17" t="str">
        <f>HYPERLINK("http://ictvonline.org/taxonomyHistory.asp?taxnode_id=20173483","ICTVonline=20173483")</f>
        <v>ICTVonline=20173483</v>
      </c>
      <c r="L3294" s="3">
        <v>3293</v>
      </c>
    </row>
    <row r="3295" spans="1:12" x14ac:dyDescent="0.15">
      <c r="A3295" s="1" t="s">
        <v>908</v>
      </c>
      <c r="B3295" s="1" t="s">
        <v>2110</v>
      </c>
      <c r="D3295" s="1" t="s">
        <v>2111</v>
      </c>
      <c r="E3295" s="1" t="s">
        <v>1849</v>
      </c>
      <c r="F3295" s="3">
        <v>0</v>
      </c>
      <c r="G3295" s="8" t="s">
        <v>3895</v>
      </c>
      <c r="H3295" s="8" t="s">
        <v>5168</v>
      </c>
      <c r="I3295" s="3">
        <v>23</v>
      </c>
      <c r="J3295" s="3" t="s">
        <v>6020</v>
      </c>
      <c r="K3295" s="17" t="str">
        <f>HYPERLINK("http://ictvonline.org/taxonomyHistory.asp?taxnode_id=20173484","ICTVonline=20173484")</f>
        <v>ICTVonline=20173484</v>
      </c>
      <c r="L3295" s="3">
        <v>3294</v>
      </c>
    </row>
    <row r="3296" spans="1:12" x14ac:dyDescent="0.15">
      <c r="A3296" s="1" t="s">
        <v>908</v>
      </c>
      <c r="B3296" s="1" t="s">
        <v>2110</v>
      </c>
      <c r="D3296" s="1" t="s">
        <v>2111</v>
      </c>
      <c r="E3296" s="1" t="s">
        <v>6168</v>
      </c>
      <c r="F3296" s="3">
        <v>0</v>
      </c>
      <c r="G3296" s="8" t="s">
        <v>3895</v>
      </c>
      <c r="H3296" s="8" t="s">
        <v>5159</v>
      </c>
      <c r="I3296" s="3">
        <v>32</v>
      </c>
      <c r="J3296" s="3" t="s">
        <v>6106</v>
      </c>
      <c r="K3296" s="17" t="str">
        <f>HYPERLINK("http://ictvonline.org/taxonomyHistory.asp?taxnode_id=20175841","ICTVonline=20175841")</f>
        <v>ICTVonline=20175841</v>
      </c>
      <c r="L3296" s="3">
        <v>3295</v>
      </c>
    </row>
    <row r="3297" spans="1:12" x14ac:dyDescent="0.15">
      <c r="A3297" s="1" t="s">
        <v>908</v>
      </c>
      <c r="B3297" s="1" t="s">
        <v>2110</v>
      </c>
      <c r="D3297" s="1" t="s">
        <v>2111</v>
      </c>
      <c r="E3297" s="1" t="s">
        <v>2486</v>
      </c>
      <c r="F3297" s="3">
        <v>0</v>
      </c>
      <c r="G3297" s="8" t="s">
        <v>3895</v>
      </c>
      <c r="H3297" s="8" t="s">
        <v>5159</v>
      </c>
      <c r="I3297" s="3">
        <v>28</v>
      </c>
      <c r="J3297" s="3" t="s">
        <v>6100</v>
      </c>
      <c r="K3297" s="17" t="str">
        <f>HYPERLINK("http://ictvonline.org/taxonomyHistory.asp?taxnode_id=20173485","ICTVonline=20173485")</f>
        <v>ICTVonline=20173485</v>
      </c>
      <c r="L3297" s="3">
        <v>3296</v>
      </c>
    </row>
    <row r="3298" spans="1:12" x14ac:dyDescent="0.15">
      <c r="A3298" s="1" t="s">
        <v>908</v>
      </c>
      <c r="B3298" s="1" t="s">
        <v>2110</v>
      </c>
      <c r="D3298" s="1" t="s">
        <v>2111</v>
      </c>
      <c r="E3298" s="1" t="s">
        <v>1052</v>
      </c>
      <c r="F3298" s="3">
        <v>0</v>
      </c>
      <c r="G3298" s="8" t="s">
        <v>3895</v>
      </c>
      <c r="H3298" s="8" t="s">
        <v>5159</v>
      </c>
      <c r="I3298" s="3">
        <v>24</v>
      </c>
      <c r="J3298" s="3" t="s">
        <v>6102</v>
      </c>
      <c r="K3298" s="17" t="str">
        <f>HYPERLINK("http://ictvonline.org/taxonomyHistory.asp?taxnode_id=20173486","ICTVonline=20173486")</f>
        <v>ICTVonline=20173486</v>
      </c>
      <c r="L3298" s="3">
        <v>3297</v>
      </c>
    </row>
    <row r="3299" spans="1:12" x14ac:dyDescent="0.15">
      <c r="A3299" s="1" t="s">
        <v>908</v>
      </c>
      <c r="B3299" s="1" t="s">
        <v>2110</v>
      </c>
      <c r="D3299" s="1" t="s">
        <v>2111</v>
      </c>
      <c r="E3299" s="1" t="s">
        <v>2487</v>
      </c>
      <c r="F3299" s="3">
        <v>0</v>
      </c>
      <c r="G3299" s="8" t="s">
        <v>3895</v>
      </c>
      <c r="H3299" s="8" t="s">
        <v>5159</v>
      </c>
      <c r="I3299" s="3">
        <v>28</v>
      </c>
      <c r="J3299" s="3" t="s">
        <v>6100</v>
      </c>
      <c r="K3299" s="17" t="str">
        <f>HYPERLINK("http://ictvonline.org/taxonomyHistory.asp?taxnode_id=20173487","ICTVonline=20173487")</f>
        <v>ICTVonline=20173487</v>
      </c>
      <c r="L3299" s="3">
        <v>3298</v>
      </c>
    </row>
    <row r="3300" spans="1:12" x14ac:dyDescent="0.15">
      <c r="A3300" s="1" t="s">
        <v>908</v>
      </c>
      <c r="B3300" s="1" t="s">
        <v>2110</v>
      </c>
      <c r="D3300" s="1" t="s">
        <v>2111</v>
      </c>
      <c r="E3300" s="1" t="s">
        <v>1053</v>
      </c>
      <c r="F3300" s="3">
        <v>0</v>
      </c>
      <c r="G3300" s="8" t="s">
        <v>3895</v>
      </c>
      <c r="H3300" s="8" t="s">
        <v>5159</v>
      </c>
      <c r="I3300" s="3">
        <v>24</v>
      </c>
      <c r="J3300" s="3" t="s">
        <v>6107</v>
      </c>
      <c r="K3300" s="17" t="str">
        <f>HYPERLINK("http://ictvonline.org/taxonomyHistory.asp?taxnode_id=20173488","ICTVonline=20173488")</f>
        <v>ICTVonline=20173488</v>
      </c>
      <c r="L3300" s="3">
        <v>3299</v>
      </c>
    </row>
    <row r="3301" spans="1:12" x14ac:dyDescent="0.15">
      <c r="A3301" s="1" t="s">
        <v>908</v>
      </c>
      <c r="B3301" s="1" t="s">
        <v>2110</v>
      </c>
      <c r="D3301" s="1" t="s">
        <v>2111</v>
      </c>
      <c r="E3301" s="1" t="s">
        <v>1054</v>
      </c>
      <c r="F3301" s="3">
        <v>0</v>
      </c>
      <c r="G3301" s="8" t="s">
        <v>3895</v>
      </c>
      <c r="H3301" s="8" t="s">
        <v>5159</v>
      </c>
      <c r="I3301" s="3">
        <v>24</v>
      </c>
      <c r="J3301" s="3" t="s">
        <v>6103</v>
      </c>
      <c r="K3301" s="17" t="str">
        <f>HYPERLINK("http://ictvonline.org/taxonomyHistory.asp?taxnode_id=20173489","ICTVonline=20173489")</f>
        <v>ICTVonline=20173489</v>
      </c>
      <c r="L3301" s="3">
        <v>3300</v>
      </c>
    </row>
    <row r="3302" spans="1:12" x14ac:dyDescent="0.15">
      <c r="A3302" s="1" t="s">
        <v>908</v>
      </c>
      <c r="B3302" s="1" t="s">
        <v>2110</v>
      </c>
      <c r="D3302" s="1" t="s">
        <v>2111</v>
      </c>
      <c r="E3302" s="1" t="s">
        <v>6169</v>
      </c>
      <c r="F3302" s="3">
        <v>0</v>
      </c>
      <c r="G3302" s="8" t="s">
        <v>3895</v>
      </c>
      <c r="H3302" s="8" t="s">
        <v>5159</v>
      </c>
      <c r="I3302" s="3">
        <v>32</v>
      </c>
      <c r="J3302" s="3" t="s">
        <v>6106</v>
      </c>
      <c r="K3302" s="17" t="str">
        <f>HYPERLINK("http://ictvonline.org/taxonomyHistory.asp?taxnode_id=20175842","ICTVonline=20175842")</f>
        <v>ICTVonline=20175842</v>
      </c>
      <c r="L3302" s="3">
        <v>3301</v>
      </c>
    </row>
    <row r="3303" spans="1:12" x14ac:dyDescent="0.15">
      <c r="A3303" s="1" t="s">
        <v>908</v>
      </c>
      <c r="B3303" s="1" t="s">
        <v>2110</v>
      </c>
      <c r="D3303" s="1" t="s">
        <v>2111</v>
      </c>
      <c r="E3303" s="1" t="s">
        <v>6170</v>
      </c>
      <c r="F3303" s="3">
        <v>0</v>
      </c>
      <c r="G3303" s="8" t="s">
        <v>3895</v>
      </c>
      <c r="H3303" s="8" t="s">
        <v>5159</v>
      </c>
      <c r="I3303" s="3">
        <v>32</v>
      </c>
      <c r="J3303" s="3" t="s">
        <v>6106</v>
      </c>
      <c r="K3303" s="17" t="str">
        <f>HYPERLINK("http://ictvonline.org/taxonomyHistory.asp?taxnode_id=20175843","ICTVonline=20175843")</f>
        <v>ICTVonline=20175843</v>
      </c>
      <c r="L3303" s="3">
        <v>3302</v>
      </c>
    </row>
    <row r="3304" spans="1:12" x14ac:dyDescent="0.15">
      <c r="A3304" s="1" t="s">
        <v>908</v>
      </c>
      <c r="B3304" s="1" t="s">
        <v>2110</v>
      </c>
      <c r="D3304" s="1" t="s">
        <v>2111</v>
      </c>
      <c r="E3304" s="1" t="s">
        <v>3965</v>
      </c>
      <c r="F3304" s="3">
        <v>0</v>
      </c>
      <c r="G3304" s="8" t="s">
        <v>3895</v>
      </c>
      <c r="H3304" s="8" t="s">
        <v>5159</v>
      </c>
      <c r="I3304" s="3">
        <v>30</v>
      </c>
      <c r="J3304" s="3" t="s">
        <v>6099</v>
      </c>
      <c r="K3304" s="17" t="str">
        <f>HYPERLINK("http://ictvonline.org/taxonomyHistory.asp?taxnode_id=20173490","ICTVonline=20173490")</f>
        <v>ICTVonline=20173490</v>
      </c>
      <c r="L3304" s="3">
        <v>3303</v>
      </c>
    </row>
    <row r="3305" spans="1:12" x14ac:dyDescent="0.15">
      <c r="A3305" s="1" t="s">
        <v>908</v>
      </c>
      <c r="B3305" s="1" t="s">
        <v>2110</v>
      </c>
      <c r="D3305" s="1" t="s">
        <v>2111</v>
      </c>
      <c r="E3305" s="1" t="s">
        <v>6171</v>
      </c>
      <c r="F3305" s="3">
        <v>0</v>
      </c>
      <c r="G3305" s="8" t="s">
        <v>3895</v>
      </c>
      <c r="H3305" s="8" t="s">
        <v>5159</v>
      </c>
      <c r="I3305" s="3">
        <v>32</v>
      </c>
      <c r="J3305" s="3" t="s">
        <v>6106</v>
      </c>
      <c r="K3305" s="17" t="str">
        <f>HYPERLINK("http://ictvonline.org/taxonomyHistory.asp?taxnode_id=20175844","ICTVonline=20175844")</f>
        <v>ICTVonline=20175844</v>
      </c>
      <c r="L3305" s="3">
        <v>3304</v>
      </c>
    </row>
    <row r="3306" spans="1:12" x14ac:dyDescent="0.15">
      <c r="A3306" s="1" t="s">
        <v>908</v>
      </c>
      <c r="B3306" s="1" t="s">
        <v>2110</v>
      </c>
      <c r="D3306" s="1" t="s">
        <v>2111</v>
      </c>
      <c r="E3306" s="1" t="s">
        <v>1138</v>
      </c>
      <c r="F3306" s="3">
        <v>0</v>
      </c>
      <c r="G3306" s="8" t="s">
        <v>3895</v>
      </c>
      <c r="H3306" s="8" t="s">
        <v>5159</v>
      </c>
      <c r="I3306" s="3">
        <v>24</v>
      </c>
      <c r="J3306" s="3" t="s">
        <v>6107</v>
      </c>
      <c r="K3306" s="17" t="str">
        <f>HYPERLINK("http://ictvonline.org/taxonomyHistory.asp?taxnode_id=20173491","ICTVonline=20173491")</f>
        <v>ICTVonline=20173491</v>
      </c>
      <c r="L3306" s="3">
        <v>3305</v>
      </c>
    </row>
    <row r="3307" spans="1:12" x14ac:dyDescent="0.15">
      <c r="A3307" s="1" t="s">
        <v>908</v>
      </c>
      <c r="B3307" s="1" t="s">
        <v>2110</v>
      </c>
      <c r="D3307" s="1" t="s">
        <v>2111</v>
      </c>
      <c r="E3307" s="1" t="s">
        <v>3966</v>
      </c>
      <c r="F3307" s="3">
        <v>0</v>
      </c>
      <c r="G3307" s="8" t="s">
        <v>3895</v>
      </c>
      <c r="H3307" s="8" t="s">
        <v>5159</v>
      </c>
      <c r="I3307" s="3">
        <v>30</v>
      </c>
      <c r="J3307" s="3" t="s">
        <v>6099</v>
      </c>
      <c r="K3307" s="17" t="str">
        <f>HYPERLINK("http://ictvonline.org/taxonomyHistory.asp?taxnode_id=20173492","ICTVonline=20173492")</f>
        <v>ICTVonline=20173492</v>
      </c>
      <c r="L3307" s="3">
        <v>3306</v>
      </c>
    </row>
    <row r="3308" spans="1:12" x14ac:dyDescent="0.15">
      <c r="A3308" s="1" t="s">
        <v>908</v>
      </c>
      <c r="B3308" s="1" t="s">
        <v>2110</v>
      </c>
      <c r="D3308" s="1" t="s">
        <v>2111</v>
      </c>
      <c r="E3308" s="1" t="s">
        <v>6172</v>
      </c>
      <c r="F3308" s="3">
        <v>0</v>
      </c>
      <c r="G3308" s="8" t="s">
        <v>3895</v>
      </c>
      <c r="H3308" s="8" t="s">
        <v>5159</v>
      </c>
      <c r="I3308" s="3">
        <v>32</v>
      </c>
      <c r="J3308" s="3" t="s">
        <v>6106</v>
      </c>
      <c r="K3308" s="17" t="str">
        <f>HYPERLINK("http://ictvonline.org/taxonomyHistory.asp?taxnode_id=20175845","ICTVonline=20175845")</f>
        <v>ICTVonline=20175845</v>
      </c>
      <c r="L3308" s="3">
        <v>3307</v>
      </c>
    </row>
    <row r="3309" spans="1:12" x14ac:dyDescent="0.15">
      <c r="A3309" s="1" t="s">
        <v>908</v>
      </c>
      <c r="B3309" s="1" t="s">
        <v>2110</v>
      </c>
      <c r="D3309" s="1" t="s">
        <v>2111</v>
      </c>
      <c r="E3309" s="1" t="s">
        <v>1139</v>
      </c>
      <c r="F3309" s="3">
        <v>0</v>
      </c>
      <c r="G3309" s="8" t="s">
        <v>3895</v>
      </c>
      <c r="H3309" s="8" t="s">
        <v>5161</v>
      </c>
      <c r="I3309" s="3">
        <v>16</v>
      </c>
      <c r="J3309" s="3" t="s">
        <v>6032</v>
      </c>
      <c r="K3309" s="17" t="str">
        <f>HYPERLINK("http://ictvonline.org/taxonomyHistory.asp?taxnode_id=20173493","ICTVonline=20173493")</f>
        <v>ICTVonline=20173493</v>
      </c>
      <c r="L3309" s="3">
        <v>3308</v>
      </c>
    </row>
    <row r="3310" spans="1:12" x14ac:dyDescent="0.15">
      <c r="A3310" s="1" t="s">
        <v>908</v>
      </c>
      <c r="B3310" s="1" t="s">
        <v>2110</v>
      </c>
      <c r="D3310" s="1" t="s">
        <v>2111</v>
      </c>
      <c r="E3310" s="1" t="s">
        <v>2488</v>
      </c>
      <c r="F3310" s="3">
        <v>0</v>
      </c>
      <c r="G3310" s="8" t="s">
        <v>3895</v>
      </c>
      <c r="H3310" s="8" t="s">
        <v>5159</v>
      </c>
      <c r="I3310" s="3">
        <v>28</v>
      </c>
      <c r="J3310" s="3" t="s">
        <v>6100</v>
      </c>
      <c r="K3310" s="17" t="str">
        <f>HYPERLINK("http://ictvonline.org/taxonomyHistory.asp?taxnode_id=20173494","ICTVonline=20173494")</f>
        <v>ICTVonline=20173494</v>
      </c>
      <c r="L3310" s="3">
        <v>3309</v>
      </c>
    </row>
    <row r="3311" spans="1:12" x14ac:dyDescent="0.15">
      <c r="A3311" s="1" t="s">
        <v>908</v>
      </c>
      <c r="B3311" s="1" t="s">
        <v>2110</v>
      </c>
      <c r="D3311" s="1" t="s">
        <v>2111</v>
      </c>
      <c r="E3311" s="1" t="s">
        <v>2489</v>
      </c>
      <c r="F3311" s="3">
        <v>0</v>
      </c>
      <c r="G3311" s="8" t="s">
        <v>3895</v>
      </c>
      <c r="H3311" s="8" t="s">
        <v>5159</v>
      </c>
      <c r="I3311" s="3">
        <v>28</v>
      </c>
      <c r="J3311" s="3" t="s">
        <v>6100</v>
      </c>
      <c r="K3311" s="17" t="str">
        <f>HYPERLINK("http://ictvonline.org/taxonomyHistory.asp?taxnode_id=20173495","ICTVonline=20173495")</f>
        <v>ICTVonline=20173495</v>
      </c>
      <c r="L3311" s="3">
        <v>3310</v>
      </c>
    </row>
    <row r="3312" spans="1:12" x14ac:dyDescent="0.15">
      <c r="A3312" s="1" t="s">
        <v>908</v>
      </c>
      <c r="B3312" s="1" t="s">
        <v>2110</v>
      </c>
      <c r="D3312" s="1" t="s">
        <v>2111</v>
      </c>
      <c r="E3312" s="1" t="s">
        <v>6173</v>
      </c>
      <c r="F3312" s="3">
        <v>0</v>
      </c>
      <c r="G3312" s="8" t="s">
        <v>3895</v>
      </c>
      <c r="H3312" s="8" t="s">
        <v>5159</v>
      </c>
      <c r="I3312" s="3">
        <v>32</v>
      </c>
      <c r="J3312" s="3" t="s">
        <v>6106</v>
      </c>
      <c r="K3312" s="17" t="str">
        <f>HYPERLINK("http://ictvonline.org/taxonomyHistory.asp?taxnode_id=20175846","ICTVonline=20175846")</f>
        <v>ICTVonline=20175846</v>
      </c>
      <c r="L3312" s="3">
        <v>3311</v>
      </c>
    </row>
    <row r="3313" spans="1:12" x14ac:dyDescent="0.15">
      <c r="A3313" s="1" t="s">
        <v>908</v>
      </c>
      <c r="B3313" s="1" t="s">
        <v>2110</v>
      </c>
      <c r="D3313" s="1" t="s">
        <v>2111</v>
      </c>
      <c r="E3313" s="1" t="s">
        <v>6174</v>
      </c>
      <c r="F3313" s="3">
        <v>0</v>
      </c>
      <c r="G3313" s="8" t="s">
        <v>3895</v>
      </c>
      <c r="H3313" s="8" t="s">
        <v>5159</v>
      </c>
      <c r="I3313" s="3">
        <v>32</v>
      </c>
      <c r="J3313" s="3" t="s">
        <v>6106</v>
      </c>
      <c r="K3313" s="17" t="str">
        <f>HYPERLINK("http://ictvonline.org/taxonomyHistory.asp?taxnode_id=20175847","ICTVonline=20175847")</f>
        <v>ICTVonline=20175847</v>
      </c>
      <c r="L3313" s="3">
        <v>3312</v>
      </c>
    </row>
    <row r="3314" spans="1:12" x14ac:dyDescent="0.15">
      <c r="A3314" s="1" t="s">
        <v>908</v>
      </c>
      <c r="B3314" s="1" t="s">
        <v>2110</v>
      </c>
      <c r="D3314" s="1" t="s">
        <v>2111</v>
      </c>
      <c r="E3314" s="1" t="s">
        <v>6175</v>
      </c>
      <c r="F3314" s="3">
        <v>0</v>
      </c>
      <c r="G3314" s="8" t="s">
        <v>3895</v>
      </c>
      <c r="H3314" s="8" t="s">
        <v>5159</v>
      </c>
      <c r="I3314" s="3">
        <v>32</v>
      </c>
      <c r="J3314" s="3" t="s">
        <v>6106</v>
      </c>
      <c r="K3314" s="17" t="str">
        <f>HYPERLINK("http://ictvonline.org/taxonomyHistory.asp?taxnode_id=20175848","ICTVonline=20175848")</f>
        <v>ICTVonline=20175848</v>
      </c>
      <c r="L3314" s="3">
        <v>3313</v>
      </c>
    </row>
    <row r="3315" spans="1:12" x14ac:dyDescent="0.15">
      <c r="A3315" s="1" t="s">
        <v>908</v>
      </c>
      <c r="B3315" s="1" t="s">
        <v>2110</v>
      </c>
      <c r="D3315" s="1" t="s">
        <v>2111</v>
      </c>
      <c r="E3315" s="1" t="s">
        <v>6176</v>
      </c>
      <c r="F3315" s="3">
        <v>0</v>
      </c>
      <c r="G3315" s="8" t="s">
        <v>3895</v>
      </c>
      <c r="H3315" s="8" t="s">
        <v>5159</v>
      </c>
      <c r="I3315" s="3">
        <v>32</v>
      </c>
      <c r="J3315" s="3" t="s">
        <v>6106</v>
      </c>
      <c r="K3315" s="17" t="str">
        <f>HYPERLINK("http://ictvonline.org/taxonomyHistory.asp?taxnode_id=20175849","ICTVonline=20175849")</f>
        <v>ICTVonline=20175849</v>
      </c>
      <c r="L3315" s="3">
        <v>3314</v>
      </c>
    </row>
    <row r="3316" spans="1:12" x14ac:dyDescent="0.15">
      <c r="A3316" s="1" t="s">
        <v>908</v>
      </c>
      <c r="B3316" s="1" t="s">
        <v>2110</v>
      </c>
      <c r="D3316" s="1" t="s">
        <v>2111</v>
      </c>
      <c r="E3316" s="1" t="s">
        <v>6177</v>
      </c>
      <c r="F3316" s="3">
        <v>0</v>
      </c>
      <c r="G3316" s="8" t="s">
        <v>3895</v>
      </c>
      <c r="H3316" s="8" t="s">
        <v>5159</v>
      </c>
      <c r="I3316" s="3">
        <v>32</v>
      </c>
      <c r="J3316" s="3" t="s">
        <v>6106</v>
      </c>
      <c r="K3316" s="17" t="str">
        <f>HYPERLINK("http://ictvonline.org/taxonomyHistory.asp?taxnode_id=20175850","ICTVonline=20175850")</f>
        <v>ICTVonline=20175850</v>
      </c>
      <c r="L3316" s="3">
        <v>3315</v>
      </c>
    </row>
    <row r="3317" spans="1:12" x14ac:dyDescent="0.15">
      <c r="A3317" s="1" t="s">
        <v>908</v>
      </c>
      <c r="B3317" s="1" t="s">
        <v>2110</v>
      </c>
      <c r="D3317" s="1" t="s">
        <v>2111</v>
      </c>
      <c r="E3317" s="1" t="s">
        <v>6178</v>
      </c>
      <c r="F3317" s="3">
        <v>0</v>
      </c>
      <c r="G3317" s="8" t="s">
        <v>3895</v>
      </c>
      <c r="H3317" s="8" t="s">
        <v>5159</v>
      </c>
      <c r="I3317" s="3">
        <v>32</v>
      </c>
      <c r="J3317" s="3" t="s">
        <v>6106</v>
      </c>
      <c r="K3317" s="17" t="str">
        <f>HYPERLINK("http://ictvonline.org/taxonomyHistory.asp?taxnode_id=20175851","ICTVonline=20175851")</f>
        <v>ICTVonline=20175851</v>
      </c>
      <c r="L3317" s="3">
        <v>3316</v>
      </c>
    </row>
    <row r="3318" spans="1:12" x14ac:dyDescent="0.15">
      <c r="A3318" s="1" t="s">
        <v>908</v>
      </c>
      <c r="B3318" s="1" t="s">
        <v>2110</v>
      </c>
      <c r="D3318" s="1" t="s">
        <v>2111</v>
      </c>
      <c r="E3318" s="1" t="s">
        <v>2490</v>
      </c>
      <c r="F3318" s="3">
        <v>0</v>
      </c>
      <c r="G3318" s="8" t="s">
        <v>3895</v>
      </c>
      <c r="H3318" s="8" t="s">
        <v>5159</v>
      </c>
      <c r="I3318" s="3">
        <v>28</v>
      </c>
      <c r="J3318" s="3" t="s">
        <v>6100</v>
      </c>
      <c r="K3318" s="17" t="str">
        <f>HYPERLINK("http://ictvonline.org/taxonomyHistory.asp?taxnode_id=20173496","ICTVonline=20173496")</f>
        <v>ICTVonline=20173496</v>
      </c>
      <c r="L3318" s="3">
        <v>3317</v>
      </c>
    </row>
    <row r="3319" spans="1:12" x14ac:dyDescent="0.15">
      <c r="A3319" s="1" t="s">
        <v>908</v>
      </c>
      <c r="B3319" s="1" t="s">
        <v>2110</v>
      </c>
      <c r="D3319" s="1" t="s">
        <v>2111</v>
      </c>
      <c r="E3319" s="1" t="s">
        <v>6179</v>
      </c>
      <c r="F3319" s="3">
        <v>0</v>
      </c>
      <c r="G3319" s="8" t="s">
        <v>3895</v>
      </c>
      <c r="H3319" s="8" t="s">
        <v>5159</v>
      </c>
      <c r="I3319" s="3">
        <v>32</v>
      </c>
      <c r="J3319" s="3" t="s">
        <v>6106</v>
      </c>
      <c r="K3319" s="17" t="str">
        <f>HYPERLINK("http://ictvonline.org/taxonomyHistory.asp?taxnode_id=20175852","ICTVonline=20175852")</f>
        <v>ICTVonline=20175852</v>
      </c>
      <c r="L3319" s="3">
        <v>3318</v>
      </c>
    </row>
    <row r="3320" spans="1:12" x14ac:dyDescent="0.15">
      <c r="A3320" s="1" t="s">
        <v>908</v>
      </c>
      <c r="B3320" s="1" t="s">
        <v>2110</v>
      </c>
      <c r="D3320" s="1" t="s">
        <v>4933</v>
      </c>
      <c r="E3320" s="1" t="s">
        <v>4934</v>
      </c>
      <c r="F3320" s="3">
        <v>0</v>
      </c>
      <c r="G3320" s="8" t="s">
        <v>3895</v>
      </c>
      <c r="H3320" s="8" t="s">
        <v>5159</v>
      </c>
      <c r="I3320" s="3">
        <v>31</v>
      </c>
      <c r="J3320" s="3" t="s">
        <v>6180</v>
      </c>
      <c r="K3320" s="17" t="str">
        <f>HYPERLINK("http://ictvonline.org/taxonomyHistory.asp?taxnode_id=20173498","ICTVonline=20173498")</f>
        <v>ICTVonline=20173498</v>
      </c>
      <c r="L3320" s="3">
        <v>3319</v>
      </c>
    </row>
    <row r="3321" spans="1:12" x14ac:dyDescent="0.15">
      <c r="A3321" s="1" t="s">
        <v>908</v>
      </c>
      <c r="B3321" s="1" t="s">
        <v>2110</v>
      </c>
      <c r="D3321" s="1" t="s">
        <v>4933</v>
      </c>
      <c r="E3321" s="1" t="s">
        <v>4935</v>
      </c>
      <c r="F3321" s="3">
        <v>1</v>
      </c>
      <c r="G3321" s="8" t="s">
        <v>3895</v>
      </c>
      <c r="H3321" s="8" t="s">
        <v>5159</v>
      </c>
      <c r="I3321" s="3">
        <v>31</v>
      </c>
      <c r="J3321" s="3" t="s">
        <v>6180</v>
      </c>
      <c r="K3321" s="17" t="str">
        <f>HYPERLINK("http://ictvonline.org/taxonomyHistory.asp?taxnode_id=20173499","ICTVonline=20173499")</f>
        <v>ICTVonline=20173499</v>
      </c>
      <c r="L3321" s="3">
        <v>3320</v>
      </c>
    </row>
    <row r="3322" spans="1:12" x14ac:dyDescent="0.15">
      <c r="A3322" s="1" t="s">
        <v>908</v>
      </c>
      <c r="B3322" s="1" t="s">
        <v>2110</v>
      </c>
      <c r="D3322" s="1" t="s">
        <v>4933</v>
      </c>
      <c r="E3322" s="1" t="s">
        <v>4936</v>
      </c>
      <c r="F3322" s="3">
        <v>0</v>
      </c>
      <c r="G3322" s="8" t="s">
        <v>3895</v>
      </c>
      <c r="H3322" s="8" t="s">
        <v>5159</v>
      </c>
      <c r="I3322" s="3">
        <v>31</v>
      </c>
      <c r="J3322" s="3" t="s">
        <v>6180</v>
      </c>
      <c r="K3322" s="17" t="str">
        <f>HYPERLINK("http://ictvonline.org/taxonomyHistory.asp?taxnode_id=20173500","ICTVonline=20173500")</f>
        <v>ICTVonline=20173500</v>
      </c>
      <c r="L3322" s="3">
        <v>3321</v>
      </c>
    </row>
    <row r="3323" spans="1:12" x14ac:dyDescent="0.15">
      <c r="A3323" s="1" t="s">
        <v>908</v>
      </c>
      <c r="B3323" s="1" t="s">
        <v>2110</v>
      </c>
      <c r="D3323" s="1" t="s">
        <v>4933</v>
      </c>
      <c r="E3323" s="1" t="s">
        <v>4937</v>
      </c>
      <c r="F3323" s="3">
        <v>0</v>
      </c>
      <c r="G3323" s="8" t="s">
        <v>3895</v>
      </c>
      <c r="H3323" s="8" t="s">
        <v>5159</v>
      </c>
      <c r="I3323" s="3">
        <v>31</v>
      </c>
      <c r="J3323" s="3" t="s">
        <v>6180</v>
      </c>
      <c r="K3323" s="17" t="str">
        <f>HYPERLINK("http://ictvonline.org/taxonomyHistory.asp?taxnode_id=20173501","ICTVonline=20173501")</f>
        <v>ICTVonline=20173501</v>
      </c>
      <c r="L3323" s="3">
        <v>3322</v>
      </c>
    </row>
    <row r="3324" spans="1:12" x14ac:dyDescent="0.15">
      <c r="A3324" s="1" t="s">
        <v>908</v>
      </c>
      <c r="B3324" s="1" t="s">
        <v>2110</v>
      </c>
      <c r="D3324" s="1" t="s">
        <v>1140</v>
      </c>
      <c r="E3324" s="1" t="s">
        <v>1141</v>
      </c>
      <c r="F3324" s="3">
        <v>1</v>
      </c>
      <c r="G3324" s="8" t="s">
        <v>3895</v>
      </c>
      <c r="H3324" s="8" t="s">
        <v>5172</v>
      </c>
      <c r="I3324" s="3">
        <v>18</v>
      </c>
      <c r="J3324" s="3" t="s">
        <v>5597</v>
      </c>
      <c r="K3324" s="17" t="str">
        <f>HYPERLINK("http://ictvonline.org/taxonomyHistory.asp?taxnode_id=20173503","ICTVonline=20173503")</f>
        <v>ICTVonline=20173503</v>
      </c>
      <c r="L3324" s="3">
        <v>3323</v>
      </c>
    </row>
    <row r="3325" spans="1:12" x14ac:dyDescent="0.15">
      <c r="A3325" s="1" t="s">
        <v>908</v>
      </c>
      <c r="B3325" s="1" t="s">
        <v>2110</v>
      </c>
      <c r="D3325" s="1" t="s">
        <v>1140</v>
      </c>
      <c r="E3325" s="1" t="s">
        <v>676</v>
      </c>
      <c r="F3325" s="3">
        <v>0</v>
      </c>
      <c r="G3325" s="8" t="s">
        <v>3895</v>
      </c>
      <c r="H3325" s="8" t="s">
        <v>5159</v>
      </c>
      <c r="I3325" s="3">
        <v>18</v>
      </c>
      <c r="J3325" s="3" t="s">
        <v>5597</v>
      </c>
      <c r="K3325" s="17" t="str">
        <f>HYPERLINK("http://ictvonline.org/taxonomyHistory.asp?taxnode_id=20173504","ICTVonline=20173504")</f>
        <v>ICTVonline=20173504</v>
      </c>
      <c r="L3325" s="3">
        <v>3324</v>
      </c>
    </row>
    <row r="3326" spans="1:12" x14ac:dyDescent="0.15">
      <c r="A3326" s="1" t="s">
        <v>908</v>
      </c>
      <c r="B3326" s="1" t="s">
        <v>2110</v>
      </c>
      <c r="D3326" s="1" t="s">
        <v>1140</v>
      </c>
      <c r="E3326" s="1" t="s">
        <v>2264</v>
      </c>
      <c r="F3326" s="3">
        <v>0</v>
      </c>
      <c r="G3326" s="8" t="s">
        <v>3895</v>
      </c>
      <c r="H3326" s="8" t="s">
        <v>5159</v>
      </c>
      <c r="I3326" s="3">
        <v>27</v>
      </c>
      <c r="J3326" s="3" t="s">
        <v>6098</v>
      </c>
      <c r="K3326" s="17" t="str">
        <f>HYPERLINK("http://ictvonline.org/taxonomyHistory.asp?taxnode_id=20173505","ICTVonline=20173505")</f>
        <v>ICTVonline=20173505</v>
      </c>
      <c r="L3326" s="3">
        <v>3325</v>
      </c>
    </row>
    <row r="3327" spans="1:12" x14ac:dyDescent="0.15">
      <c r="A3327" s="1" t="s">
        <v>908</v>
      </c>
      <c r="B3327" s="1" t="s">
        <v>2110</v>
      </c>
      <c r="D3327" s="1" t="s">
        <v>2265</v>
      </c>
      <c r="E3327" s="1" t="s">
        <v>2266</v>
      </c>
      <c r="F3327" s="3">
        <v>1</v>
      </c>
      <c r="G3327" s="8" t="s">
        <v>3895</v>
      </c>
      <c r="H3327" s="8" t="s">
        <v>5164</v>
      </c>
      <c r="I3327" s="3">
        <v>27</v>
      </c>
      <c r="J3327" s="3" t="s">
        <v>6098</v>
      </c>
      <c r="K3327" s="17" t="str">
        <f>HYPERLINK("http://ictvonline.org/taxonomyHistory.asp?taxnode_id=20173507","ICTVonline=20173507")</f>
        <v>ICTVonline=20173507</v>
      </c>
      <c r="L3327" s="3">
        <v>3326</v>
      </c>
    </row>
    <row r="3328" spans="1:12" x14ac:dyDescent="0.15">
      <c r="A3328" s="1" t="s">
        <v>908</v>
      </c>
      <c r="B3328" s="1" t="s">
        <v>2110</v>
      </c>
      <c r="D3328" s="1" t="s">
        <v>4938</v>
      </c>
      <c r="E3328" s="1" t="s">
        <v>4939</v>
      </c>
      <c r="F3328" s="3">
        <v>1</v>
      </c>
      <c r="G3328" s="8" t="s">
        <v>3895</v>
      </c>
      <c r="H3328" s="8" t="s">
        <v>5159</v>
      </c>
      <c r="I3328" s="3">
        <v>31</v>
      </c>
      <c r="J3328" s="3" t="s">
        <v>6180</v>
      </c>
      <c r="K3328" s="17" t="str">
        <f>HYPERLINK("http://ictvonline.org/taxonomyHistory.asp?taxnode_id=20173509","ICTVonline=20173509")</f>
        <v>ICTVonline=20173509</v>
      </c>
      <c r="L3328" s="3">
        <v>3327</v>
      </c>
    </row>
    <row r="3329" spans="1:12" x14ac:dyDescent="0.15">
      <c r="A3329" s="1" t="s">
        <v>908</v>
      </c>
      <c r="B3329" s="1" t="s">
        <v>2110</v>
      </c>
      <c r="D3329" s="1" t="s">
        <v>677</v>
      </c>
      <c r="E3329" s="1" t="s">
        <v>3967</v>
      </c>
      <c r="F3329" s="3">
        <v>0</v>
      </c>
      <c r="G3329" s="8" t="s">
        <v>3895</v>
      </c>
      <c r="H3329" s="8" t="s">
        <v>5159</v>
      </c>
      <c r="I3329" s="3">
        <v>30</v>
      </c>
      <c r="J3329" s="3" t="s">
        <v>6181</v>
      </c>
      <c r="K3329" s="17" t="str">
        <f>HYPERLINK("http://ictvonline.org/taxonomyHistory.asp?taxnode_id=20173511","ICTVonline=20173511")</f>
        <v>ICTVonline=20173511</v>
      </c>
      <c r="L3329" s="3">
        <v>3328</v>
      </c>
    </row>
    <row r="3330" spans="1:12" x14ac:dyDescent="0.15">
      <c r="A3330" s="1" t="s">
        <v>908</v>
      </c>
      <c r="B3330" s="1" t="s">
        <v>2110</v>
      </c>
      <c r="D3330" s="1" t="s">
        <v>677</v>
      </c>
      <c r="E3330" s="1" t="s">
        <v>2267</v>
      </c>
      <c r="F3330" s="3">
        <v>0</v>
      </c>
      <c r="G3330" s="8" t="s">
        <v>3895</v>
      </c>
      <c r="H3330" s="8" t="s">
        <v>5159</v>
      </c>
      <c r="I3330" s="3">
        <v>27</v>
      </c>
      <c r="J3330" s="3" t="s">
        <v>6182</v>
      </c>
      <c r="K3330" s="17" t="str">
        <f>HYPERLINK("http://ictvonline.org/taxonomyHistory.asp?taxnode_id=20173512","ICTVonline=20173512")</f>
        <v>ICTVonline=20173512</v>
      </c>
      <c r="L3330" s="3">
        <v>3329</v>
      </c>
    </row>
    <row r="3331" spans="1:12" x14ac:dyDescent="0.15">
      <c r="A3331" s="1" t="s">
        <v>908</v>
      </c>
      <c r="B3331" s="1" t="s">
        <v>2110</v>
      </c>
      <c r="D3331" s="1" t="s">
        <v>677</v>
      </c>
      <c r="E3331" s="1" t="s">
        <v>2268</v>
      </c>
      <c r="F3331" s="3">
        <v>0</v>
      </c>
      <c r="G3331" s="8" t="s">
        <v>3895</v>
      </c>
      <c r="H3331" s="8" t="s">
        <v>5159</v>
      </c>
      <c r="I3331" s="3">
        <v>27</v>
      </c>
      <c r="J3331" s="3" t="s">
        <v>6182</v>
      </c>
      <c r="K3331" s="17" t="str">
        <f>HYPERLINK("http://ictvonline.org/taxonomyHistory.asp?taxnode_id=20173513","ICTVonline=20173513")</f>
        <v>ICTVonline=20173513</v>
      </c>
      <c r="L3331" s="3">
        <v>3330</v>
      </c>
    </row>
    <row r="3332" spans="1:12" x14ac:dyDescent="0.15">
      <c r="A3332" s="1" t="s">
        <v>908</v>
      </c>
      <c r="B3332" s="1" t="s">
        <v>2110</v>
      </c>
      <c r="D3332" s="1" t="s">
        <v>677</v>
      </c>
      <c r="E3332" s="1" t="s">
        <v>2269</v>
      </c>
      <c r="F3332" s="3">
        <v>0</v>
      </c>
      <c r="G3332" s="8" t="s">
        <v>3895</v>
      </c>
      <c r="H3332" s="8" t="s">
        <v>5159</v>
      </c>
      <c r="I3332" s="3">
        <v>27</v>
      </c>
      <c r="J3332" s="3" t="s">
        <v>6182</v>
      </c>
      <c r="K3332" s="17" t="str">
        <f>HYPERLINK("http://ictvonline.org/taxonomyHistory.asp?taxnode_id=20173514","ICTVonline=20173514")</f>
        <v>ICTVonline=20173514</v>
      </c>
      <c r="L3332" s="3">
        <v>3331</v>
      </c>
    </row>
    <row r="3333" spans="1:12" x14ac:dyDescent="0.15">
      <c r="A3333" s="1" t="s">
        <v>908</v>
      </c>
      <c r="B3333" s="1" t="s">
        <v>2110</v>
      </c>
      <c r="D3333" s="1" t="s">
        <v>677</v>
      </c>
      <c r="E3333" s="1" t="s">
        <v>2270</v>
      </c>
      <c r="F3333" s="3">
        <v>0</v>
      </c>
      <c r="G3333" s="8" t="s">
        <v>3895</v>
      </c>
      <c r="H3333" s="8" t="s">
        <v>5159</v>
      </c>
      <c r="I3333" s="3">
        <v>27</v>
      </c>
      <c r="J3333" s="3" t="s">
        <v>6182</v>
      </c>
      <c r="K3333" s="17" t="str">
        <f>HYPERLINK("http://ictvonline.org/taxonomyHistory.asp?taxnode_id=20173515","ICTVonline=20173515")</f>
        <v>ICTVonline=20173515</v>
      </c>
      <c r="L3333" s="3">
        <v>3332</v>
      </c>
    </row>
    <row r="3334" spans="1:12" x14ac:dyDescent="0.15">
      <c r="A3334" s="1" t="s">
        <v>908</v>
      </c>
      <c r="B3334" s="1" t="s">
        <v>2110</v>
      </c>
      <c r="D3334" s="1" t="s">
        <v>677</v>
      </c>
      <c r="E3334" s="1" t="s">
        <v>2271</v>
      </c>
      <c r="F3334" s="3">
        <v>0</v>
      </c>
      <c r="G3334" s="8" t="s">
        <v>3895</v>
      </c>
      <c r="H3334" s="8" t="s">
        <v>5159</v>
      </c>
      <c r="I3334" s="3">
        <v>27</v>
      </c>
      <c r="J3334" s="3" t="s">
        <v>6182</v>
      </c>
      <c r="K3334" s="17" t="str">
        <f>HYPERLINK("http://ictvonline.org/taxonomyHistory.asp?taxnode_id=20173516","ICTVonline=20173516")</f>
        <v>ICTVonline=20173516</v>
      </c>
      <c r="L3334" s="3">
        <v>3333</v>
      </c>
    </row>
    <row r="3335" spans="1:12" x14ac:dyDescent="0.15">
      <c r="A3335" s="1" t="s">
        <v>908</v>
      </c>
      <c r="B3335" s="1" t="s">
        <v>2110</v>
      </c>
      <c r="D3335" s="1" t="s">
        <v>677</v>
      </c>
      <c r="E3335" s="1" t="s">
        <v>6183</v>
      </c>
      <c r="F3335" s="3">
        <v>0</v>
      </c>
      <c r="G3335" s="8" t="s">
        <v>3895</v>
      </c>
      <c r="H3335" s="8" t="s">
        <v>5159</v>
      </c>
      <c r="I3335" s="3">
        <v>32</v>
      </c>
      <c r="J3335" s="3" t="s">
        <v>6184</v>
      </c>
      <c r="K3335" s="17" t="str">
        <f>HYPERLINK("http://ictvonline.org/taxonomyHistory.asp?taxnode_id=20175853","ICTVonline=20175853")</f>
        <v>ICTVonline=20175853</v>
      </c>
      <c r="L3335" s="3">
        <v>3334</v>
      </c>
    </row>
    <row r="3336" spans="1:12" x14ac:dyDescent="0.15">
      <c r="A3336" s="1" t="s">
        <v>908</v>
      </c>
      <c r="B3336" s="1" t="s">
        <v>2110</v>
      </c>
      <c r="D3336" s="1" t="s">
        <v>677</v>
      </c>
      <c r="E3336" s="1" t="s">
        <v>2272</v>
      </c>
      <c r="F3336" s="3">
        <v>0</v>
      </c>
      <c r="G3336" s="8" t="s">
        <v>3895</v>
      </c>
      <c r="H3336" s="8" t="s">
        <v>5159</v>
      </c>
      <c r="I3336" s="3">
        <v>27</v>
      </c>
      <c r="J3336" s="3" t="s">
        <v>6182</v>
      </c>
      <c r="K3336" s="17" t="str">
        <f>HYPERLINK("http://ictvonline.org/taxonomyHistory.asp?taxnode_id=20173517","ICTVonline=20173517")</f>
        <v>ICTVonline=20173517</v>
      </c>
      <c r="L3336" s="3">
        <v>3335</v>
      </c>
    </row>
    <row r="3337" spans="1:12" x14ac:dyDescent="0.15">
      <c r="A3337" s="1" t="s">
        <v>908</v>
      </c>
      <c r="B3337" s="1" t="s">
        <v>2110</v>
      </c>
      <c r="D3337" s="1" t="s">
        <v>677</v>
      </c>
      <c r="E3337" s="1" t="s">
        <v>1502</v>
      </c>
      <c r="F3337" s="3">
        <v>0</v>
      </c>
      <c r="G3337" s="8" t="s">
        <v>3895</v>
      </c>
      <c r="H3337" s="8" t="s">
        <v>5161</v>
      </c>
      <c r="I3337" s="3">
        <v>16</v>
      </c>
      <c r="J3337" s="3" t="s">
        <v>6032</v>
      </c>
      <c r="K3337" s="17" t="str">
        <f>HYPERLINK("http://ictvonline.org/taxonomyHistory.asp?taxnode_id=20173518","ICTVonline=20173518")</f>
        <v>ICTVonline=20173518</v>
      </c>
      <c r="L3337" s="3">
        <v>3336</v>
      </c>
    </row>
    <row r="3338" spans="1:12" x14ac:dyDescent="0.15">
      <c r="A3338" s="1" t="s">
        <v>908</v>
      </c>
      <c r="B3338" s="1" t="s">
        <v>2110</v>
      </c>
      <c r="D3338" s="1" t="s">
        <v>677</v>
      </c>
      <c r="E3338" s="1" t="s">
        <v>2273</v>
      </c>
      <c r="F3338" s="3">
        <v>0</v>
      </c>
      <c r="G3338" s="8" t="s">
        <v>3895</v>
      </c>
      <c r="H3338" s="8" t="s">
        <v>5159</v>
      </c>
      <c r="I3338" s="3">
        <v>27</v>
      </c>
      <c r="J3338" s="3" t="s">
        <v>6182</v>
      </c>
      <c r="K3338" s="17" t="str">
        <f>HYPERLINK("http://ictvonline.org/taxonomyHistory.asp?taxnode_id=20173519","ICTVonline=20173519")</f>
        <v>ICTVonline=20173519</v>
      </c>
      <c r="L3338" s="3">
        <v>3337</v>
      </c>
    </row>
    <row r="3339" spans="1:12" x14ac:dyDescent="0.15">
      <c r="A3339" s="1" t="s">
        <v>908</v>
      </c>
      <c r="B3339" s="1" t="s">
        <v>2110</v>
      </c>
      <c r="D3339" s="1" t="s">
        <v>677</v>
      </c>
      <c r="E3339" s="1" t="s">
        <v>2274</v>
      </c>
      <c r="F3339" s="3">
        <v>0</v>
      </c>
      <c r="G3339" s="8" t="s">
        <v>3895</v>
      </c>
      <c r="H3339" s="8" t="s">
        <v>5159</v>
      </c>
      <c r="I3339" s="3">
        <v>27</v>
      </c>
      <c r="J3339" s="3" t="s">
        <v>6182</v>
      </c>
      <c r="K3339" s="17" t="str">
        <f>HYPERLINK("http://ictvonline.org/taxonomyHistory.asp?taxnode_id=20173520","ICTVonline=20173520")</f>
        <v>ICTVonline=20173520</v>
      </c>
      <c r="L3339" s="3">
        <v>3338</v>
      </c>
    </row>
    <row r="3340" spans="1:12" x14ac:dyDescent="0.15">
      <c r="A3340" s="1" t="s">
        <v>908</v>
      </c>
      <c r="B3340" s="1" t="s">
        <v>2110</v>
      </c>
      <c r="D3340" s="1" t="s">
        <v>677</v>
      </c>
      <c r="E3340" s="1" t="s">
        <v>1503</v>
      </c>
      <c r="F3340" s="3">
        <v>0</v>
      </c>
      <c r="G3340" s="8" t="s">
        <v>3895</v>
      </c>
      <c r="H3340" s="8" t="s">
        <v>5161</v>
      </c>
      <c r="I3340" s="3">
        <v>16</v>
      </c>
      <c r="J3340" s="3" t="s">
        <v>6032</v>
      </c>
      <c r="K3340" s="17" t="str">
        <f>HYPERLINK("http://ictvonline.org/taxonomyHistory.asp?taxnode_id=20173521","ICTVonline=20173521")</f>
        <v>ICTVonline=20173521</v>
      </c>
      <c r="L3340" s="3">
        <v>3339</v>
      </c>
    </row>
    <row r="3341" spans="1:12" x14ac:dyDescent="0.15">
      <c r="A3341" s="1" t="s">
        <v>908</v>
      </c>
      <c r="B3341" s="1" t="s">
        <v>2110</v>
      </c>
      <c r="D3341" s="1" t="s">
        <v>677</v>
      </c>
      <c r="E3341" s="1" t="s">
        <v>6185</v>
      </c>
      <c r="F3341" s="3">
        <v>0</v>
      </c>
      <c r="G3341" s="8" t="s">
        <v>3895</v>
      </c>
      <c r="H3341" s="8" t="s">
        <v>5159</v>
      </c>
      <c r="I3341" s="3">
        <v>32</v>
      </c>
      <c r="J3341" s="3" t="s">
        <v>6184</v>
      </c>
      <c r="K3341" s="17" t="str">
        <f>HYPERLINK("http://ictvonline.org/taxonomyHistory.asp?taxnode_id=20175854","ICTVonline=20175854")</f>
        <v>ICTVonline=20175854</v>
      </c>
      <c r="L3341" s="3">
        <v>3340</v>
      </c>
    </row>
    <row r="3342" spans="1:12" x14ac:dyDescent="0.15">
      <c r="A3342" s="1" t="s">
        <v>908</v>
      </c>
      <c r="B3342" s="1" t="s">
        <v>2110</v>
      </c>
      <c r="D3342" s="1" t="s">
        <v>677</v>
      </c>
      <c r="E3342" s="1" t="s">
        <v>2275</v>
      </c>
      <c r="F3342" s="3">
        <v>0</v>
      </c>
      <c r="G3342" s="8" t="s">
        <v>3895</v>
      </c>
      <c r="H3342" s="8" t="s">
        <v>5159</v>
      </c>
      <c r="I3342" s="3">
        <v>27</v>
      </c>
      <c r="J3342" s="3" t="s">
        <v>6182</v>
      </c>
      <c r="K3342" s="17" t="str">
        <f>HYPERLINK("http://ictvonline.org/taxonomyHistory.asp?taxnode_id=20173522","ICTVonline=20173522")</f>
        <v>ICTVonline=20173522</v>
      </c>
      <c r="L3342" s="3">
        <v>3341</v>
      </c>
    </row>
    <row r="3343" spans="1:12" x14ac:dyDescent="0.15">
      <c r="A3343" s="1" t="s">
        <v>908</v>
      </c>
      <c r="B3343" s="1" t="s">
        <v>2110</v>
      </c>
      <c r="D3343" s="1" t="s">
        <v>677</v>
      </c>
      <c r="E3343" s="1" t="s">
        <v>566</v>
      </c>
      <c r="F3343" s="3">
        <v>0</v>
      </c>
      <c r="G3343" s="8" t="s">
        <v>3895</v>
      </c>
      <c r="H3343" s="8" t="s">
        <v>5159</v>
      </c>
      <c r="I3343" s="3">
        <v>25</v>
      </c>
      <c r="J3343" s="3" t="s">
        <v>6186</v>
      </c>
      <c r="K3343" s="17" t="str">
        <f>HYPERLINK("http://ictvonline.org/taxonomyHistory.asp?taxnode_id=20173523","ICTVonline=20173523")</f>
        <v>ICTVonline=20173523</v>
      </c>
      <c r="L3343" s="3">
        <v>3342</v>
      </c>
    </row>
    <row r="3344" spans="1:12" x14ac:dyDescent="0.15">
      <c r="A3344" s="1" t="s">
        <v>908</v>
      </c>
      <c r="B3344" s="1" t="s">
        <v>2110</v>
      </c>
      <c r="D3344" s="1" t="s">
        <v>677</v>
      </c>
      <c r="E3344" s="1" t="s">
        <v>2276</v>
      </c>
      <c r="F3344" s="3">
        <v>0</v>
      </c>
      <c r="G3344" s="8" t="s">
        <v>3895</v>
      </c>
      <c r="H3344" s="8" t="s">
        <v>5159</v>
      </c>
      <c r="I3344" s="3">
        <v>27</v>
      </c>
      <c r="J3344" s="3" t="s">
        <v>6182</v>
      </c>
      <c r="K3344" s="17" t="str">
        <f>HYPERLINK("http://ictvonline.org/taxonomyHistory.asp?taxnode_id=20173524","ICTVonline=20173524")</f>
        <v>ICTVonline=20173524</v>
      </c>
      <c r="L3344" s="3">
        <v>3343</v>
      </c>
    </row>
    <row r="3345" spans="1:12" x14ac:dyDescent="0.15">
      <c r="A3345" s="1" t="s">
        <v>908</v>
      </c>
      <c r="B3345" s="1" t="s">
        <v>2110</v>
      </c>
      <c r="D3345" s="1" t="s">
        <v>677</v>
      </c>
      <c r="E3345" s="1" t="s">
        <v>1504</v>
      </c>
      <c r="F3345" s="3">
        <v>1</v>
      </c>
      <c r="G3345" s="8" t="s">
        <v>3895</v>
      </c>
      <c r="H3345" s="8" t="s">
        <v>5161</v>
      </c>
      <c r="I3345" s="3">
        <v>16</v>
      </c>
      <c r="J3345" s="3" t="s">
        <v>6032</v>
      </c>
      <c r="K3345" s="17" t="str">
        <f>HYPERLINK("http://ictvonline.org/taxonomyHistory.asp?taxnode_id=20173525","ICTVonline=20173525")</f>
        <v>ICTVonline=20173525</v>
      </c>
      <c r="L3345" s="3">
        <v>3344</v>
      </c>
    </row>
    <row r="3346" spans="1:12" x14ac:dyDescent="0.15">
      <c r="A3346" s="1" t="s">
        <v>908</v>
      </c>
      <c r="B3346" s="1" t="s">
        <v>2110</v>
      </c>
      <c r="D3346" s="1" t="s">
        <v>677</v>
      </c>
      <c r="E3346" s="1" t="s">
        <v>373</v>
      </c>
      <c r="F3346" s="3">
        <v>0</v>
      </c>
      <c r="G3346" s="8" t="s">
        <v>3895</v>
      </c>
      <c r="H3346" s="8" t="s">
        <v>5161</v>
      </c>
      <c r="I3346" s="3">
        <v>16</v>
      </c>
      <c r="J3346" s="3" t="s">
        <v>6032</v>
      </c>
      <c r="K3346" s="17" t="str">
        <f>HYPERLINK("http://ictvonline.org/taxonomyHistory.asp?taxnode_id=20173526","ICTVonline=20173526")</f>
        <v>ICTVonline=20173526</v>
      </c>
      <c r="L3346" s="3">
        <v>3345</v>
      </c>
    </row>
    <row r="3347" spans="1:12" x14ac:dyDescent="0.15">
      <c r="A3347" s="1" t="s">
        <v>908</v>
      </c>
      <c r="B3347" s="1" t="s">
        <v>2110</v>
      </c>
      <c r="D3347" s="1" t="s">
        <v>677</v>
      </c>
      <c r="E3347" s="1" t="s">
        <v>2277</v>
      </c>
      <c r="F3347" s="3">
        <v>0</v>
      </c>
      <c r="G3347" s="8" t="s">
        <v>3895</v>
      </c>
      <c r="H3347" s="8" t="s">
        <v>5159</v>
      </c>
      <c r="I3347" s="3">
        <v>27</v>
      </c>
      <c r="J3347" s="3" t="s">
        <v>6182</v>
      </c>
      <c r="K3347" s="17" t="str">
        <f>HYPERLINK("http://ictvonline.org/taxonomyHistory.asp?taxnode_id=20173527","ICTVonline=20173527")</f>
        <v>ICTVonline=20173527</v>
      </c>
      <c r="L3347" s="3">
        <v>3346</v>
      </c>
    </row>
    <row r="3348" spans="1:12" x14ac:dyDescent="0.15">
      <c r="A3348" s="1" t="s">
        <v>908</v>
      </c>
      <c r="B3348" s="1" t="s">
        <v>2110</v>
      </c>
      <c r="D3348" s="1" t="s">
        <v>677</v>
      </c>
      <c r="E3348" s="1" t="s">
        <v>374</v>
      </c>
      <c r="F3348" s="3">
        <v>0</v>
      </c>
      <c r="G3348" s="8" t="s">
        <v>3895</v>
      </c>
      <c r="H3348" s="8" t="s">
        <v>5161</v>
      </c>
      <c r="I3348" s="3">
        <v>16</v>
      </c>
      <c r="J3348" s="3" t="s">
        <v>6032</v>
      </c>
      <c r="K3348" s="17" t="str">
        <f>HYPERLINK("http://ictvonline.org/taxonomyHistory.asp?taxnode_id=20173528","ICTVonline=20173528")</f>
        <v>ICTVonline=20173528</v>
      </c>
      <c r="L3348" s="3">
        <v>3347</v>
      </c>
    </row>
    <row r="3349" spans="1:12" x14ac:dyDescent="0.15">
      <c r="A3349" s="1" t="s">
        <v>908</v>
      </c>
      <c r="B3349" s="1" t="s">
        <v>2110</v>
      </c>
      <c r="D3349" s="1" t="s">
        <v>677</v>
      </c>
      <c r="E3349" s="1" t="s">
        <v>2278</v>
      </c>
      <c r="F3349" s="3">
        <v>0</v>
      </c>
      <c r="G3349" s="8" t="s">
        <v>3895</v>
      </c>
      <c r="H3349" s="8" t="s">
        <v>5159</v>
      </c>
      <c r="I3349" s="3">
        <v>27</v>
      </c>
      <c r="J3349" s="3" t="s">
        <v>6182</v>
      </c>
      <c r="K3349" s="17" t="str">
        <f>HYPERLINK("http://ictvonline.org/taxonomyHistory.asp?taxnode_id=20173529","ICTVonline=20173529")</f>
        <v>ICTVonline=20173529</v>
      </c>
      <c r="L3349" s="3">
        <v>3348</v>
      </c>
    </row>
    <row r="3350" spans="1:12" x14ac:dyDescent="0.15">
      <c r="A3350" s="1" t="s">
        <v>908</v>
      </c>
      <c r="B3350" s="1" t="s">
        <v>2110</v>
      </c>
      <c r="D3350" s="1" t="s">
        <v>677</v>
      </c>
      <c r="E3350" s="1" t="s">
        <v>2279</v>
      </c>
      <c r="F3350" s="3">
        <v>0</v>
      </c>
      <c r="G3350" s="8" t="s">
        <v>3895</v>
      </c>
      <c r="H3350" s="8" t="s">
        <v>5159</v>
      </c>
      <c r="I3350" s="3">
        <v>27</v>
      </c>
      <c r="J3350" s="3" t="s">
        <v>6182</v>
      </c>
      <c r="K3350" s="17" t="str">
        <f>HYPERLINK("http://ictvonline.org/taxonomyHistory.asp?taxnode_id=20173530","ICTVonline=20173530")</f>
        <v>ICTVonline=20173530</v>
      </c>
      <c r="L3350" s="3">
        <v>3349</v>
      </c>
    </row>
    <row r="3351" spans="1:12" x14ac:dyDescent="0.15">
      <c r="A3351" s="1" t="s">
        <v>908</v>
      </c>
      <c r="B3351" s="1" t="s">
        <v>2110</v>
      </c>
      <c r="D3351" s="1" t="s">
        <v>677</v>
      </c>
      <c r="E3351" s="1" t="s">
        <v>2280</v>
      </c>
      <c r="F3351" s="3">
        <v>0</v>
      </c>
      <c r="G3351" s="8" t="s">
        <v>3895</v>
      </c>
      <c r="H3351" s="8" t="s">
        <v>5159</v>
      </c>
      <c r="I3351" s="3">
        <v>27</v>
      </c>
      <c r="J3351" s="3" t="s">
        <v>6182</v>
      </c>
      <c r="K3351" s="17" t="str">
        <f>HYPERLINK("http://ictvonline.org/taxonomyHistory.asp?taxnode_id=20173531","ICTVonline=20173531")</f>
        <v>ICTVonline=20173531</v>
      </c>
      <c r="L3351" s="3">
        <v>3350</v>
      </c>
    </row>
    <row r="3352" spans="1:12" x14ac:dyDescent="0.15">
      <c r="A3352" s="1" t="s">
        <v>908</v>
      </c>
      <c r="B3352" s="1" t="s">
        <v>2110</v>
      </c>
      <c r="D3352" s="1" t="s">
        <v>677</v>
      </c>
      <c r="E3352" s="1" t="s">
        <v>6187</v>
      </c>
      <c r="F3352" s="3">
        <v>0</v>
      </c>
      <c r="G3352" s="8" t="s">
        <v>3895</v>
      </c>
      <c r="H3352" s="8" t="s">
        <v>5162</v>
      </c>
      <c r="I3352" s="3">
        <v>32</v>
      </c>
      <c r="J3352" s="3" t="s">
        <v>6146</v>
      </c>
      <c r="K3352" s="17" t="str">
        <f>HYPERLINK("http://ictvonline.org/taxonomyHistory.asp?taxnode_id=20173532","ICTVonline=20173532")</f>
        <v>ICTVonline=20173532</v>
      </c>
      <c r="L3352" s="3">
        <v>3351</v>
      </c>
    </row>
    <row r="3353" spans="1:12" x14ac:dyDescent="0.15">
      <c r="A3353" s="1" t="s">
        <v>908</v>
      </c>
      <c r="B3353" s="1" t="s">
        <v>2110</v>
      </c>
      <c r="D3353" s="1" t="s">
        <v>677</v>
      </c>
      <c r="E3353" s="1" t="s">
        <v>6188</v>
      </c>
      <c r="F3353" s="3">
        <v>0</v>
      </c>
      <c r="G3353" s="8" t="s">
        <v>3895</v>
      </c>
      <c r="H3353" s="8" t="s">
        <v>5162</v>
      </c>
      <c r="I3353" s="3">
        <v>32</v>
      </c>
      <c r="J3353" s="3" t="s">
        <v>6146</v>
      </c>
      <c r="K3353" s="17" t="str">
        <f>HYPERLINK("http://ictvonline.org/taxonomyHistory.asp?taxnode_id=20173533","ICTVonline=20173533")</f>
        <v>ICTVonline=20173533</v>
      </c>
      <c r="L3353" s="3">
        <v>3352</v>
      </c>
    </row>
    <row r="3354" spans="1:12" x14ac:dyDescent="0.15">
      <c r="A3354" s="1" t="s">
        <v>908</v>
      </c>
      <c r="B3354" s="1" t="s">
        <v>2110</v>
      </c>
      <c r="D3354" s="1" t="s">
        <v>677</v>
      </c>
      <c r="E3354" s="1" t="s">
        <v>6189</v>
      </c>
      <c r="F3354" s="3">
        <v>0</v>
      </c>
      <c r="G3354" s="8" t="s">
        <v>3895</v>
      </c>
      <c r="H3354" s="8" t="s">
        <v>5159</v>
      </c>
      <c r="I3354" s="3">
        <v>32</v>
      </c>
      <c r="J3354" s="3" t="s">
        <v>6184</v>
      </c>
      <c r="K3354" s="17" t="str">
        <f>HYPERLINK("http://ictvonline.org/taxonomyHistory.asp?taxnode_id=20175855","ICTVonline=20175855")</f>
        <v>ICTVonline=20175855</v>
      </c>
      <c r="L3354" s="3">
        <v>3353</v>
      </c>
    </row>
    <row r="3355" spans="1:12" x14ac:dyDescent="0.15">
      <c r="A3355" s="1" t="s">
        <v>908</v>
      </c>
      <c r="B3355" s="1" t="s">
        <v>2110</v>
      </c>
      <c r="D3355" s="1" t="s">
        <v>677</v>
      </c>
      <c r="E3355" s="1" t="s">
        <v>375</v>
      </c>
      <c r="F3355" s="3">
        <v>0</v>
      </c>
      <c r="G3355" s="8" t="s">
        <v>3895</v>
      </c>
      <c r="H3355" s="8" t="s">
        <v>5159</v>
      </c>
      <c r="I3355" s="3">
        <v>20</v>
      </c>
      <c r="J3355" s="3" t="s">
        <v>5628</v>
      </c>
      <c r="K3355" s="17" t="str">
        <f>HYPERLINK("http://ictvonline.org/taxonomyHistory.asp?taxnode_id=20173534","ICTVonline=20173534")</f>
        <v>ICTVonline=20173534</v>
      </c>
      <c r="L3355" s="3">
        <v>3354</v>
      </c>
    </row>
    <row r="3356" spans="1:12" x14ac:dyDescent="0.15">
      <c r="A3356" s="1" t="s">
        <v>908</v>
      </c>
      <c r="B3356" s="1" t="s">
        <v>2110</v>
      </c>
      <c r="D3356" s="1" t="s">
        <v>677</v>
      </c>
      <c r="E3356" s="1" t="s">
        <v>376</v>
      </c>
      <c r="F3356" s="3">
        <v>0</v>
      </c>
      <c r="G3356" s="8" t="s">
        <v>3895</v>
      </c>
      <c r="H3356" s="8" t="s">
        <v>5159</v>
      </c>
      <c r="I3356" s="3">
        <v>20</v>
      </c>
      <c r="J3356" s="3" t="s">
        <v>5628</v>
      </c>
      <c r="K3356" s="17" t="str">
        <f>HYPERLINK("http://ictvonline.org/taxonomyHistory.asp?taxnode_id=20173535","ICTVonline=20173535")</f>
        <v>ICTVonline=20173535</v>
      </c>
      <c r="L3356" s="3">
        <v>3355</v>
      </c>
    </row>
    <row r="3357" spans="1:12" x14ac:dyDescent="0.15">
      <c r="A3357" s="1" t="s">
        <v>908</v>
      </c>
      <c r="B3357" s="1" t="s">
        <v>2110</v>
      </c>
      <c r="D3357" s="1" t="s">
        <v>677</v>
      </c>
      <c r="E3357" s="1" t="s">
        <v>377</v>
      </c>
      <c r="F3357" s="3">
        <v>0</v>
      </c>
      <c r="G3357" s="8" t="s">
        <v>3895</v>
      </c>
      <c r="H3357" s="8" t="s">
        <v>5161</v>
      </c>
      <c r="I3357" s="3">
        <v>16</v>
      </c>
      <c r="J3357" s="3" t="s">
        <v>6032</v>
      </c>
      <c r="K3357" s="17" t="str">
        <f>HYPERLINK("http://ictvonline.org/taxonomyHistory.asp?taxnode_id=20173536","ICTVonline=20173536")</f>
        <v>ICTVonline=20173536</v>
      </c>
      <c r="L3357" s="3">
        <v>3356</v>
      </c>
    </row>
    <row r="3358" spans="1:12" x14ac:dyDescent="0.15">
      <c r="A3358" s="1" t="s">
        <v>908</v>
      </c>
      <c r="B3358" s="1" t="s">
        <v>2110</v>
      </c>
      <c r="D3358" s="1" t="s">
        <v>677</v>
      </c>
      <c r="E3358" s="1" t="s">
        <v>6190</v>
      </c>
      <c r="F3358" s="3">
        <v>0</v>
      </c>
      <c r="G3358" s="8" t="s">
        <v>3895</v>
      </c>
      <c r="H3358" s="8" t="s">
        <v>5159</v>
      </c>
      <c r="I3358" s="3">
        <v>32</v>
      </c>
      <c r="J3358" s="3" t="s">
        <v>6184</v>
      </c>
      <c r="K3358" s="17" t="str">
        <f>HYPERLINK("http://ictvonline.org/taxonomyHistory.asp?taxnode_id=20175856","ICTVonline=20175856")</f>
        <v>ICTVonline=20175856</v>
      </c>
      <c r="L3358" s="3">
        <v>3357</v>
      </c>
    </row>
    <row r="3359" spans="1:12" x14ac:dyDescent="0.15">
      <c r="A3359" s="1" t="s">
        <v>908</v>
      </c>
      <c r="B3359" s="1" t="s">
        <v>2110</v>
      </c>
      <c r="D3359" s="1" t="s">
        <v>677</v>
      </c>
      <c r="E3359" s="1" t="s">
        <v>3968</v>
      </c>
      <c r="F3359" s="3">
        <v>0</v>
      </c>
      <c r="G3359" s="8" t="s">
        <v>3895</v>
      </c>
      <c r="H3359" s="8" t="s">
        <v>5159</v>
      </c>
      <c r="I3359" s="3">
        <v>30</v>
      </c>
      <c r="J3359" s="3" t="s">
        <v>6181</v>
      </c>
      <c r="K3359" s="17" t="str">
        <f>HYPERLINK("http://ictvonline.org/taxonomyHistory.asp?taxnode_id=20173537","ICTVonline=20173537")</f>
        <v>ICTVonline=20173537</v>
      </c>
      <c r="L3359" s="3">
        <v>3358</v>
      </c>
    </row>
    <row r="3360" spans="1:12" x14ac:dyDescent="0.15">
      <c r="A3360" s="1" t="s">
        <v>908</v>
      </c>
      <c r="B3360" s="1" t="s">
        <v>2110</v>
      </c>
      <c r="D3360" s="1" t="s">
        <v>677</v>
      </c>
      <c r="E3360" s="1" t="s">
        <v>6191</v>
      </c>
      <c r="F3360" s="3">
        <v>0</v>
      </c>
      <c r="G3360" s="8" t="s">
        <v>3895</v>
      </c>
      <c r="H3360" s="8" t="s">
        <v>5159</v>
      </c>
      <c r="I3360" s="3">
        <v>32</v>
      </c>
      <c r="J3360" s="3" t="s">
        <v>6184</v>
      </c>
      <c r="K3360" s="17" t="str">
        <f>HYPERLINK("http://ictvonline.org/taxonomyHistory.asp?taxnode_id=20175857","ICTVonline=20175857")</f>
        <v>ICTVonline=20175857</v>
      </c>
      <c r="L3360" s="3">
        <v>3359</v>
      </c>
    </row>
    <row r="3361" spans="1:12" x14ac:dyDescent="0.15">
      <c r="A3361" s="1" t="s">
        <v>908</v>
      </c>
      <c r="B3361" s="1" t="s">
        <v>2110</v>
      </c>
      <c r="D3361" s="1" t="s">
        <v>677</v>
      </c>
      <c r="E3361" s="1" t="s">
        <v>3969</v>
      </c>
      <c r="F3361" s="3">
        <v>0</v>
      </c>
      <c r="G3361" s="8" t="s">
        <v>3895</v>
      </c>
      <c r="H3361" s="8" t="s">
        <v>5159</v>
      </c>
      <c r="I3361" s="3">
        <v>30</v>
      </c>
      <c r="J3361" s="3" t="s">
        <v>6181</v>
      </c>
      <c r="K3361" s="17" t="str">
        <f>HYPERLINK("http://ictvonline.org/taxonomyHistory.asp?taxnode_id=20173538","ICTVonline=20173538")</f>
        <v>ICTVonline=20173538</v>
      </c>
      <c r="L3361" s="3">
        <v>3360</v>
      </c>
    </row>
    <row r="3362" spans="1:12" x14ac:dyDescent="0.15">
      <c r="A3362" s="1" t="s">
        <v>908</v>
      </c>
      <c r="B3362" s="1" t="s">
        <v>2110</v>
      </c>
      <c r="D3362" s="1" t="s">
        <v>677</v>
      </c>
      <c r="E3362" s="1" t="s">
        <v>378</v>
      </c>
      <c r="F3362" s="3">
        <v>0</v>
      </c>
      <c r="G3362" s="8" t="s">
        <v>3895</v>
      </c>
      <c r="H3362" s="8" t="s">
        <v>5161</v>
      </c>
      <c r="I3362" s="3">
        <v>16</v>
      </c>
      <c r="J3362" s="3" t="s">
        <v>6032</v>
      </c>
      <c r="K3362" s="17" t="str">
        <f>HYPERLINK("http://ictvonline.org/taxonomyHistory.asp?taxnode_id=20173539","ICTVonline=20173539")</f>
        <v>ICTVonline=20173539</v>
      </c>
      <c r="L3362" s="3">
        <v>3361</v>
      </c>
    </row>
    <row r="3363" spans="1:12" x14ac:dyDescent="0.15">
      <c r="A3363" s="1" t="s">
        <v>908</v>
      </c>
      <c r="B3363" s="1" t="s">
        <v>2110</v>
      </c>
      <c r="D3363" s="1" t="s">
        <v>677</v>
      </c>
      <c r="E3363" s="1" t="s">
        <v>567</v>
      </c>
      <c r="F3363" s="3">
        <v>0</v>
      </c>
      <c r="G3363" s="8" t="s">
        <v>3895</v>
      </c>
      <c r="H3363" s="8" t="s">
        <v>5159</v>
      </c>
      <c r="I3363" s="3">
        <v>25</v>
      </c>
      <c r="J3363" s="3" t="s">
        <v>6186</v>
      </c>
      <c r="K3363" s="17" t="str">
        <f>HYPERLINK("http://ictvonline.org/taxonomyHistory.asp?taxnode_id=20173540","ICTVonline=20173540")</f>
        <v>ICTVonline=20173540</v>
      </c>
      <c r="L3363" s="3">
        <v>3362</v>
      </c>
    </row>
    <row r="3364" spans="1:12" x14ac:dyDescent="0.15">
      <c r="A3364" s="1" t="s">
        <v>908</v>
      </c>
      <c r="B3364" s="1" t="s">
        <v>2110</v>
      </c>
      <c r="D3364" s="1" t="s">
        <v>677</v>
      </c>
      <c r="E3364" s="1" t="s">
        <v>2281</v>
      </c>
      <c r="F3364" s="3">
        <v>0</v>
      </c>
      <c r="G3364" s="8" t="s">
        <v>3895</v>
      </c>
      <c r="H3364" s="8" t="s">
        <v>5159</v>
      </c>
      <c r="I3364" s="3">
        <v>27</v>
      </c>
      <c r="J3364" s="3" t="s">
        <v>6182</v>
      </c>
      <c r="K3364" s="17" t="str">
        <f>HYPERLINK("http://ictvonline.org/taxonomyHistory.asp?taxnode_id=20173541","ICTVonline=20173541")</f>
        <v>ICTVonline=20173541</v>
      </c>
      <c r="L3364" s="3">
        <v>3363</v>
      </c>
    </row>
    <row r="3365" spans="1:12" x14ac:dyDescent="0.15">
      <c r="A3365" s="1" t="s">
        <v>908</v>
      </c>
      <c r="B3365" s="1" t="s">
        <v>2110</v>
      </c>
      <c r="D3365" s="1" t="s">
        <v>677</v>
      </c>
      <c r="E3365" s="1" t="s">
        <v>379</v>
      </c>
      <c r="F3365" s="3">
        <v>0</v>
      </c>
      <c r="G3365" s="8" t="s">
        <v>3895</v>
      </c>
      <c r="H3365" s="8" t="s">
        <v>5161</v>
      </c>
      <c r="I3365" s="3">
        <v>16</v>
      </c>
      <c r="J3365" s="3" t="s">
        <v>6032</v>
      </c>
      <c r="K3365" s="17" t="str">
        <f>HYPERLINK("http://ictvonline.org/taxonomyHistory.asp?taxnode_id=20173542","ICTVonline=20173542")</f>
        <v>ICTVonline=20173542</v>
      </c>
      <c r="L3365" s="3">
        <v>3364</v>
      </c>
    </row>
    <row r="3366" spans="1:12" x14ac:dyDescent="0.15">
      <c r="A3366" s="1" t="s">
        <v>908</v>
      </c>
      <c r="B3366" s="1" t="s">
        <v>2110</v>
      </c>
      <c r="D3366" s="1" t="s">
        <v>380</v>
      </c>
      <c r="E3366" s="1" t="s">
        <v>381</v>
      </c>
      <c r="F3366" s="3">
        <v>1</v>
      </c>
      <c r="G3366" s="8" t="s">
        <v>3895</v>
      </c>
      <c r="H3366" s="8" t="s">
        <v>5165</v>
      </c>
      <c r="I3366" s="3">
        <v>19</v>
      </c>
      <c r="J3366" s="3" t="s">
        <v>6192</v>
      </c>
      <c r="K3366" s="17" t="str">
        <f>HYPERLINK("http://ictvonline.org/taxonomyHistory.asp?taxnode_id=20173544","ICTVonline=20173544")</f>
        <v>ICTVonline=20173544</v>
      </c>
      <c r="L3366" s="3">
        <v>3365</v>
      </c>
    </row>
    <row r="3367" spans="1:12" x14ac:dyDescent="0.15">
      <c r="A3367" s="1" t="s">
        <v>908</v>
      </c>
      <c r="B3367" s="1" t="s">
        <v>2110</v>
      </c>
      <c r="D3367" s="1" t="s">
        <v>2282</v>
      </c>
      <c r="E3367" s="1" t="s">
        <v>2283</v>
      </c>
      <c r="F3367" s="3">
        <v>1</v>
      </c>
      <c r="G3367" s="8" t="s">
        <v>3895</v>
      </c>
      <c r="H3367" s="8" t="s">
        <v>5164</v>
      </c>
      <c r="I3367" s="3">
        <v>27</v>
      </c>
      <c r="J3367" s="3" t="s">
        <v>6098</v>
      </c>
      <c r="K3367" s="17" t="str">
        <f>HYPERLINK("http://ictvonline.org/taxonomyHistory.asp?taxnode_id=20173546","ICTVonline=20173546")</f>
        <v>ICTVonline=20173546</v>
      </c>
      <c r="L3367" s="3">
        <v>3366</v>
      </c>
    </row>
    <row r="3368" spans="1:12" x14ac:dyDescent="0.15">
      <c r="A3368" s="1" t="s">
        <v>908</v>
      </c>
      <c r="B3368" s="1" t="s">
        <v>2110</v>
      </c>
      <c r="D3368" s="1" t="s">
        <v>2282</v>
      </c>
      <c r="E3368" s="1" t="s">
        <v>6193</v>
      </c>
      <c r="F3368" s="3">
        <v>0</v>
      </c>
      <c r="G3368" s="8" t="s">
        <v>3895</v>
      </c>
      <c r="H3368" s="8" t="s">
        <v>5159</v>
      </c>
      <c r="I3368" s="3">
        <v>32</v>
      </c>
      <c r="J3368" s="3" t="s">
        <v>6194</v>
      </c>
      <c r="K3368" s="17" t="str">
        <f>HYPERLINK("http://ictvonline.org/taxonomyHistory.asp?taxnode_id=20175858","ICTVonline=20175858")</f>
        <v>ICTVonline=20175858</v>
      </c>
      <c r="L3368" s="3">
        <v>3367</v>
      </c>
    </row>
    <row r="3369" spans="1:12" x14ac:dyDescent="0.15">
      <c r="A3369" s="1" t="s">
        <v>908</v>
      </c>
      <c r="B3369" s="1" t="s">
        <v>2110</v>
      </c>
      <c r="D3369" s="1" t="s">
        <v>908</v>
      </c>
      <c r="E3369" s="1" t="s">
        <v>4940</v>
      </c>
      <c r="F3369" s="3">
        <v>0</v>
      </c>
      <c r="G3369" s="8" t="s">
        <v>3895</v>
      </c>
      <c r="H3369" s="8" t="s">
        <v>5159</v>
      </c>
      <c r="I3369" s="3">
        <v>31</v>
      </c>
      <c r="J3369" s="3" t="s">
        <v>6180</v>
      </c>
      <c r="K3369" s="17" t="str">
        <f>HYPERLINK("http://ictvonline.org/taxonomyHistory.asp?taxnode_id=20173548","ICTVonline=20173548")</f>
        <v>ICTVonline=20173548</v>
      </c>
      <c r="L3369" s="3">
        <v>3368</v>
      </c>
    </row>
    <row r="3370" spans="1:12" x14ac:dyDescent="0.15">
      <c r="A3370" s="1" t="s">
        <v>908</v>
      </c>
      <c r="B3370" s="1" t="s">
        <v>2110</v>
      </c>
      <c r="D3370" s="1" t="s">
        <v>908</v>
      </c>
      <c r="E3370" s="1" t="s">
        <v>4941</v>
      </c>
      <c r="F3370" s="3">
        <v>0</v>
      </c>
      <c r="G3370" s="8" t="s">
        <v>3895</v>
      </c>
      <c r="H3370" s="8" t="s">
        <v>5159</v>
      </c>
      <c r="I3370" s="3">
        <v>31</v>
      </c>
      <c r="J3370" s="3" t="s">
        <v>6180</v>
      </c>
      <c r="K3370" s="17" t="str">
        <f>HYPERLINK("http://ictvonline.org/taxonomyHistory.asp?taxnode_id=20173549","ICTVonline=20173549")</f>
        <v>ICTVonline=20173549</v>
      </c>
      <c r="L3370" s="3">
        <v>3369</v>
      </c>
    </row>
    <row r="3371" spans="1:12" x14ac:dyDescent="0.15">
      <c r="A3371" s="1" t="s">
        <v>908</v>
      </c>
      <c r="B3371" s="1" t="s">
        <v>3970</v>
      </c>
      <c r="D3371" s="1" t="s">
        <v>3971</v>
      </c>
      <c r="E3371" s="1" t="s">
        <v>4942</v>
      </c>
      <c r="F3371" s="3">
        <v>0</v>
      </c>
      <c r="G3371" s="8" t="s">
        <v>2774</v>
      </c>
      <c r="H3371" s="8" t="s">
        <v>5159</v>
      </c>
      <c r="I3371" s="3">
        <v>31</v>
      </c>
      <c r="J3371" s="3" t="s">
        <v>6195</v>
      </c>
      <c r="K3371" s="17" t="str">
        <f>HYPERLINK("http://ictvonline.org/taxonomyHistory.asp?taxnode_id=20173553","ICTVonline=20173553")</f>
        <v>ICTVonline=20173553</v>
      </c>
      <c r="L3371" s="3">
        <v>3370</v>
      </c>
    </row>
    <row r="3372" spans="1:12" x14ac:dyDescent="0.15">
      <c r="A3372" s="1" t="s">
        <v>908</v>
      </c>
      <c r="B3372" s="1" t="s">
        <v>3970</v>
      </c>
      <c r="D3372" s="1" t="s">
        <v>3971</v>
      </c>
      <c r="E3372" s="1" t="s">
        <v>4943</v>
      </c>
      <c r="F3372" s="3">
        <v>0</v>
      </c>
      <c r="G3372" s="8" t="s">
        <v>2774</v>
      </c>
      <c r="H3372" s="8" t="s">
        <v>5159</v>
      </c>
      <c r="I3372" s="3">
        <v>31</v>
      </c>
      <c r="J3372" s="3" t="s">
        <v>6195</v>
      </c>
      <c r="K3372" s="17" t="str">
        <f>HYPERLINK("http://ictvonline.org/taxonomyHistory.asp?taxnode_id=20173554","ICTVonline=20173554")</f>
        <v>ICTVonline=20173554</v>
      </c>
      <c r="L3372" s="3">
        <v>3371</v>
      </c>
    </row>
    <row r="3373" spans="1:12" x14ac:dyDescent="0.15">
      <c r="A3373" s="1" t="s">
        <v>908</v>
      </c>
      <c r="B3373" s="1" t="s">
        <v>3970</v>
      </c>
      <c r="D3373" s="1" t="s">
        <v>3971</v>
      </c>
      <c r="E3373" s="1" t="s">
        <v>4944</v>
      </c>
      <c r="F3373" s="3">
        <v>0</v>
      </c>
      <c r="G3373" s="8" t="s">
        <v>2774</v>
      </c>
      <c r="H3373" s="8" t="s">
        <v>5159</v>
      </c>
      <c r="I3373" s="3">
        <v>31</v>
      </c>
      <c r="J3373" s="3" t="s">
        <v>6195</v>
      </c>
      <c r="K3373" s="17" t="str">
        <f>HYPERLINK("http://ictvonline.org/taxonomyHistory.asp?taxnode_id=20173555","ICTVonline=20173555")</f>
        <v>ICTVonline=20173555</v>
      </c>
      <c r="L3373" s="3">
        <v>3372</v>
      </c>
    </row>
    <row r="3374" spans="1:12" x14ac:dyDescent="0.15">
      <c r="A3374" s="1" t="s">
        <v>908</v>
      </c>
      <c r="B3374" s="1" t="s">
        <v>3970</v>
      </c>
      <c r="D3374" s="1" t="s">
        <v>3971</v>
      </c>
      <c r="E3374" s="1" t="s">
        <v>4945</v>
      </c>
      <c r="F3374" s="3">
        <v>0</v>
      </c>
      <c r="G3374" s="8" t="s">
        <v>2774</v>
      </c>
      <c r="H3374" s="8" t="s">
        <v>5159</v>
      </c>
      <c r="I3374" s="3">
        <v>31</v>
      </c>
      <c r="J3374" s="3" t="s">
        <v>6195</v>
      </c>
      <c r="K3374" s="17" t="str">
        <f>HYPERLINK("http://ictvonline.org/taxonomyHistory.asp?taxnode_id=20173556","ICTVonline=20173556")</f>
        <v>ICTVonline=20173556</v>
      </c>
      <c r="L3374" s="3">
        <v>3373</v>
      </c>
    </row>
    <row r="3375" spans="1:12" x14ac:dyDescent="0.15">
      <c r="A3375" s="1" t="s">
        <v>908</v>
      </c>
      <c r="B3375" s="1" t="s">
        <v>3970</v>
      </c>
      <c r="D3375" s="1" t="s">
        <v>3971</v>
      </c>
      <c r="E3375" s="1" t="s">
        <v>4946</v>
      </c>
      <c r="F3375" s="3">
        <v>0</v>
      </c>
      <c r="G3375" s="8" t="s">
        <v>2774</v>
      </c>
      <c r="H3375" s="8" t="s">
        <v>5159</v>
      </c>
      <c r="I3375" s="3">
        <v>31</v>
      </c>
      <c r="J3375" s="3" t="s">
        <v>6195</v>
      </c>
      <c r="K3375" s="17" t="str">
        <f>HYPERLINK("http://ictvonline.org/taxonomyHistory.asp?taxnode_id=20173557","ICTVonline=20173557")</f>
        <v>ICTVonline=20173557</v>
      </c>
      <c r="L3375" s="3">
        <v>3374</v>
      </c>
    </row>
    <row r="3376" spans="1:12" x14ac:dyDescent="0.15">
      <c r="A3376" s="1" t="s">
        <v>908</v>
      </c>
      <c r="B3376" s="1" t="s">
        <v>3970</v>
      </c>
      <c r="D3376" s="1" t="s">
        <v>3971</v>
      </c>
      <c r="E3376" s="1" t="s">
        <v>4947</v>
      </c>
      <c r="F3376" s="3">
        <v>0</v>
      </c>
      <c r="G3376" s="8" t="s">
        <v>2774</v>
      </c>
      <c r="H3376" s="8" t="s">
        <v>5159</v>
      </c>
      <c r="I3376" s="3">
        <v>31</v>
      </c>
      <c r="J3376" s="3" t="s">
        <v>6195</v>
      </c>
      <c r="K3376" s="17" t="str">
        <f>HYPERLINK("http://ictvonline.org/taxonomyHistory.asp?taxnode_id=20173558","ICTVonline=20173558")</f>
        <v>ICTVonline=20173558</v>
      </c>
      <c r="L3376" s="3">
        <v>3375</v>
      </c>
    </row>
    <row r="3377" spans="1:12" x14ac:dyDescent="0.15">
      <c r="A3377" s="1" t="s">
        <v>908</v>
      </c>
      <c r="B3377" s="1" t="s">
        <v>3970</v>
      </c>
      <c r="D3377" s="1" t="s">
        <v>3971</v>
      </c>
      <c r="E3377" s="1" t="s">
        <v>4948</v>
      </c>
      <c r="F3377" s="3">
        <v>0</v>
      </c>
      <c r="G3377" s="8" t="s">
        <v>2774</v>
      </c>
      <c r="H3377" s="8" t="s">
        <v>5159</v>
      </c>
      <c r="I3377" s="3">
        <v>31</v>
      </c>
      <c r="J3377" s="3" t="s">
        <v>6195</v>
      </c>
      <c r="K3377" s="17" t="str">
        <f>HYPERLINK("http://ictvonline.org/taxonomyHistory.asp?taxnode_id=20173559","ICTVonline=20173559")</f>
        <v>ICTVonline=20173559</v>
      </c>
      <c r="L3377" s="3">
        <v>3376</v>
      </c>
    </row>
    <row r="3378" spans="1:12" x14ac:dyDescent="0.15">
      <c r="A3378" s="1" t="s">
        <v>908</v>
      </c>
      <c r="B3378" s="1" t="s">
        <v>3970</v>
      </c>
      <c r="D3378" s="1" t="s">
        <v>3971</v>
      </c>
      <c r="E3378" s="1" t="s">
        <v>4949</v>
      </c>
      <c r="F3378" s="3">
        <v>0</v>
      </c>
      <c r="G3378" s="8" t="s">
        <v>2774</v>
      </c>
      <c r="H3378" s="8" t="s">
        <v>5159</v>
      </c>
      <c r="I3378" s="3">
        <v>31</v>
      </c>
      <c r="J3378" s="3" t="s">
        <v>6195</v>
      </c>
      <c r="K3378" s="17" t="str">
        <f>HYPERLINK("http://ictvonline.org/taxonomyHistory.asp?taxnode_id=20173560","ICTVonline=20173560")</f>
        <v>ICTVonline=20173560</v>
      </c>
      <c r="L3378" s="3">
        <v>3377</v>
      </c>
    </row>
    <row r="3379" spans="1:12" x14ac:dyDescent="0.15">
      <c r="A3379" s="1" t="s">
        <v>908</v>
      </c>
      <c r="B3379" s="1" t="s">
        <v>3970</v>
      </c>
      <c r="D3379" s="1" t="s">
        <v>3971</v>
      </c>
      <c r="E3379" s="1" t="s">
        <v>4950</v>
      </c>
      <c r="F3379" s="3">
        <v>0</v>
      </c>
      <c r="G3379" s="8" t="s">
        <v>2774</v>
      </c>
      <c r="H3379" s="8" t="s">
        <v>5159</v>
      </c>
      <c r="I3379" s="3">
        <v>31</v>
      </c>
      <c r="J3379" s="3" t="s">
        <v>6195</v>
      </c>
      <c r="K3379" s="17" t="str">
        <f>HYPERLINK("http://ictvonline.org/taxonomyHistory.asp?taxnode_id=20173561","ICTVonline=20173561")</f>
        <v>ICTVonline=20173561</v>
      </c>
      <c r="L3379" s="3">
        <v>3378</v>
      </c>
    </row>
    <row r="3380" spans="1:12" x14ac:dyDescent="0.15">
      <c r="A3380" s="1" t="s">
        <v>908</v>
      </c>
      <c r="B3380" s="1" t="s">
        <v>3970</v>
      </c>
      <c r="D3380" s="1" t="s">
        <v>3971</v>
      </c>
      <c r="E3380" s="1" t="s">
        <v>4951</v>
      </c>
      <c r="F3380" s="3">
        <v>0</v>
      </c>
      <c r="G3380" s="8" t="s">
        <v>2774</v>
      </c>
      <c r="H3380" s="8" t="s">
        <v>5159</v>
      </c>
      <c r="I3380" s="3">
        <v>31</v>
      </c>
      <c r="J3380" s="3" t="s">
        <v>6195</v>
      </c>
      <c r="K3380" s="17" t="str">
        <f>HYPERLINK("http://ictvonline.org/taxonomyHistory.asp?taxnode_id=20173562","ICTVonline=20173562")</f>
        <v>ICTVonline=20173562</v>
      </c>
      <c r="L3380" s="3">
        <v>3379</v>
      </c>
    </row>
    <row r="3381" spans="1:12" x14ac:dyDescent="0.15">
      <c r="A3381" s="1" t="s">
        <v>908</v>
      </c>
      <c r="B3381" s="1" t="s">
        <v>3970</v>
      </c>
      <c r="D3381" s="1" t="s">
        <v>3971</v>
      </c>
      <c r="E3381" s="1" t="s">
        <v>4952</v>
      </c>
      <c r="F3381" s="3">
        <v>0</v>
      </c>
      <c r="G3381" s="8" t="s">
        <v>2774</v>
      </c>
      <c r="H3381" s="8" t="s">
        <v>5159</v>
      </c>
      <c r="I3381" s="3">
        <v>31</v>
      </c>
      <c r="J3381" s="3" t="s">
        <v>6195</v>
      </c>
      <c r="K3381" s="17" t="str">
        <f>HYPERLINK("http://ictvonline.org/taxonomyHistory.asp?taxnode_id=20173563","ICTVonline=20173563")</f>
        <v>ICTVonline=20173563</v>
      </c>
      <c r="L3381" s="3">
        <v>3380</v>
      </c>
    </row>
    <row r="3382" spans="1:12" x14ac:dyDescent="0.15">
      <c r="A3382" s="1" t="s">
        <v>908</v>
      </c>
      <c r="B3382" s="1" t="s">
        <v>3970</v>
      </c>
      <c r="D3382" s="1" t="s">
        <v>3971</v>
      </c>
      <c r="E3382" s="1" t="s">
        <v>4953</v>
      </c>
      <c r="F3382" s="3">
        <v>0</v>
      </c>
      <c r="G3382" s="8" t="s">
        <v>2774</v>
      </c>
      <c r="H3382" s="8" t="s">
        <v>5159</v>
      </c>
      <c r="I3382" s="3">
        <v>31</v>
      </c>
      <c r="J3382" s="3" t="s">
        <v>6195</v>
      </c>
      <c r="K3382" s="17" t="str">
        <f>HYPERLINK("http://ictvonline.org/taxonomyHistory.asp?taxnode_id=20173564","ICTVonline=20173564")</f>
        <v>ICTVonline=20173564</v>
      </c>
      <c r="L3382" s="3">
        <v>3381</v>
      </c>
    </row>
    <row r="3383" spans="1:12" x14ac:dyDescent="0.15">
      <c r="A3383" s="1" t="s">
        <v>908</v>
      </c>
      <c r="B3383" s="1" t="s">
        <v>3970</v>
      </c>
      <c r="D3383" s="1" t="s">
        <v>3971</v>
      </c>
      <c r="E3383" s="1" t="s">
        <v>4954</v>
      </c>
      <c r="F3383" s="3">
        <v>0</v>
      </c>
      <c r="G3383" s="8" t="s">
        <v>2774</v>
      </c>
      <c r="H3383" s="8" t="s">
        <v>5159</v>
      </c>
      <c r="I3383" s="3">
        <v>31</v>
      </c>
      <c r="J3383" s="3" t="s">
        <v>6195</v>
      </c>
      <c r="K3383" s="17" t="str">
        <f>HYPERLINK("http://ictvonline.org/taxonomyHistory.asp?taxnode_id=20173565","ICTVonline=20173565")</f>
        <v>ICTVonline=20173565</v>
      </c>
      <c r="L3383" s="3">
        <v>3382</v>
      </c>
    </row>
    <row r="3384" spans="1:12" x14ac:dyDescent="0.15">
      <c r="A3384" s="1" t="s">
        <v>908</v>
      </c>
      <c r="B3384" s="1" t="s">
        <v>3970</v>
      </c>
      <c r="D3384" s="1" t="s">
        <v>3971</v>
      </c>
      <c r="E3384" s="1" t="s">
        <v>4955</v>
      </c>
      <c r="F3384" s="3">
        <v>0</v>
      </c>
      <c r="G3384" s="8" t="s">
        <v>2774</v>
      </c>
      <c r="H3384" s="8" t="s">
        <v>5159</v>
      </c>
      <c r="I3384" s="3">
        <v>31</v>
      </c>
      <c r="J3384" s="3" t="s">
        <v>6195</v>
      </c>
      <c r="K3384" s="17" t="str">
        <f>HYPERLINK("http://ictvonline.org/taxonomyHistory.asp?taxnode_id=20173566","ICTVonline=20173566")</f>
        <v>ICTVonline=20173566</v>
      </c>
      <c r="L3384" s="3">
        <v>3383</v>
      </c>
    </row>
    <row r="3385" spans="1:12" x14ac:dyDescent="0.15">
      <c r="A3385" s="1" t="s">
        <v>908</v>
      </c>
      <c r="B3385" s="1" t="s">
        <v>3970</v>
      </c>
      <c r="D3385" s="1" t="s">
        <v>3971</v>
      </c>
      <c r="E3385" s="1" t="s">
        <v>4956</v>
      </c>
      <c r="F3385" s="3">
        <v>0</v>
      </c>
      <c r="G3385" s="8" t="s">
        <v>2774</v>
      </c>
      <c r="H3385" s="8" t="s">
        <v>5159</v>
      </c>
      <c r="I3385" s="3">
        <v>31</v>
      </c>
      <c r="J3385" s="3" t="s">
        <v>6195</v>
      </c>
      <c r="K3385" s="17" t="str">
        <f>HYPERLINK("http://ictvonline.org/taxonomyHistory.asp?taxnode_id=20173567","ICTVonline=20173567")</f>
        <v>ICTVonline=20173567</v>
      </c>
      <c r="L3385" s="3">
        <v>3384</v>
      </c>
    </row>
    <row r="3386" spans="1:12" x14ac:dyDescent="0.15">
      <c r="A3386" s="1" t="s">
        <v>908</v>
      </c>
      <c r="B3386" s="1" t="s">
        <v>3970</v>
      </c>
      <c r="D3386" s="1" t="s">
        <v>3971</v>
      </c>
      <c r="E3386" s="1" t="s">
        <v>4957</v>
      </c>
      <c r="F3386" s="3">
        <v>0</v>
      </c>
      <c r="G3386" s="8" t="s">
        <v>2774</v>
      </c>
      <c r="H3386" s="8" t="s">
        <v>5159</v>
      </c>
      <c r="I3386" s="3">
        <v>31</v>
      </c>
      <c r="J3386" s="3" t="s">
        <v>6195</v>
      </c>
      <c r="K3386" s="17" t="str">
        <f>HYPERLINK("http://ictvonline.org/taxonomyHistory.asp?taxnode_id=20173568","ICTVonline=20173568")</f>
        <v>ICTVonline=20173568</v>
      </c>
      <c r="L3386" s="3">
        <v>3385</v>
      </c>
    </row>
    <row r="3387" spans="1:12" x14ac:dyDescent="0.15">
      <c r="A3387" s="1" t="s">
        <v>908</v>
      </c>
      <c r="B3387" s="1" t="s">
        <v>3970</v>
      </c>
      <c r="D3387" s="1" t="s">
        <v>3971</v>
      </c>
      <c r="E3387" s="1" t="s">
        <v>4958</v>
      </c>
      <c r="F3387" s="3">
        <v>0</v>
      </c>
      <c r="G3387" s="8" t="s">
        <v>2774</v>
      </c>
      <c r="H3387" s="8" t="s">
        <v>5159</v>
      </c>
      <c r="I3387" s="3">
        <v>31</v>
      </c>
      <c r="J3387" s="3" t="s">
        <v>6195</v>
      </c>
      <c r="K3387" s="17" t="str">
        <f>HYPERLINK("http://ictvonline.org/taxonomyHistory.asp?taxnode_id=20173569","ICTVonline=20173569")</f>
        <v>ICTVonline=20173569</v>
      </c>
      <c r="L3387" s="3">
        <v>3386</v>
      </c>
    </row>
    <row r="3388" spans="1:12" x14ac:dyDescent="0.15">
      <c r="A3388" s="1" t="s">
        <v>908</v>
      </c>
      <c r="B3388" s="1" t="s">
        <v>3970</v>
      </c>
      <c r="D3388" s="1" t="s">
        <v>3971</v>
      </c>
      <c r="E3388" s="1" t="s">
        <v>4959</v>
      </c>
      <c r="F3388" s="3">
        <v>0</v>
      </c>
      <c r="G3388" s="8" t="s">
        <v>2774</v>
      </c>
      <c r="H3388" s="8" t="s">
        <v>5159</v>
      </c>
      <c r="I3388" s="3">
        <v>31</v>
      </c>
      <c r="J3388" s="3" t="s">
        <v>6195</v>
      </c>
      <c r="K3388" s="17" t="str">
        <f>HYPERLINK("http://ictvonline.org/taxonomyHistory.asp?taxnode_id=20173570","ICTVonline=20173570")</f>
        <v>ICTVonline=20173570</v>
      </c>
      <c r="L3388" s="3">
        <v>3387</v>
      </c>
    </row>
    <row r="3389" spans="1:12" x14ac:dyDescent="0.15">
      <c r="A3389" s="1" t="s">
        <v>908</v>
      </c>
      <c r="B3389" s="1" t="s">
        <v>3970</v>
      </c>
      <c r="D3389" s="1" t="s">
        <v>3971</v>
      </c>
      <c r="E3389" s="1" t="s">
        <v>4960</v>
      </c>
      <c r="F3389" s="3">
        <v>0</v>
      </c>
      <c r="G3389" s="8" t="s">
        <v>2774</v>
      </c>
      <c r="H3389" s="8" t="s">
        <v>5159</v>
      </c>
      <c r="I3389" s="3">
        <v>31</v>
      </c>
      <c r="J3389" s="3" t="s">
        <v>6195</v>
      </c>
      <c r="K3389" s="17" t="str">
        <f>HYPERLINK("http://ictvonline.org/taxonomyHistory.asp?taxnode_id=20173571","ICTVonline=20173571")</f>
        <v>ICTVonline=20173571</v>
      </c>
      <c r="L3389" s="3">
        <v>3388</v>
      </c>
    </row>
    <row r="3390" spans="1:12" x14ac:dyDescent="0.15">
      <c r="A3390" s="1" t="s">
        <v>908</v>
      </c>
      <c r="B3390" s="1" t="s">
        <v>3970</v>
      </c>
      <c r="D3390" s="1" t="s">
        <v>3971</v>
      </c>
      <c r="E3390" s="1" t="s">
        <v>4961</v>
      </c>
      <c r="F3390" s="3">
        <v>0</v>
      </c>
      <c r="G3390" s="8" t="s">
        <v>2774</v>
      </c>
      <c r="H3390" s="8" t="s">
        <v>5159</v>
      </c>
      <c r="I3390" s="3">
        <v>31</v>
      </c>
      <c r="J3390" s="3" t="s">
        <v>6195</v>
      </c>
      <c r="K3390" s="17" t="str">
        <f>HYPERLINK("http://ictvonline.org/taxonomyHistory.asp?taxnode_id=20173572","ICTVonline=20173572")</f>
        <v>ICTVonline=20173572</v>
      </c>
      <c r="L3390" s="3">
        <v>3389</v>
      </c>
    </row>
    <row r="3391" spans="1:12" x14ac:dyDescent="0.15">
      <c r="A3391" s="1" t="s">
        <v>908</v>
      </c>
      <c r="B3391" s="1" t="s">
        <v>3970</v>
      </c>
      <c r="D3391" s="1" t="s">
        <v>3971</v>
      </c>
      <c r="E3391" s="1" t="s">
        <v>4962</v>
      </c>
      <c r="F3391" s="3">
        <v>0</v>
      </c>
      <c r="G3391" s="8" t="s">
        <v>2774</v>
      </c>
      <c r="H3391" s="8" t="s">
        <v>5159</v>
      </c>
      <c r="I3391" s="3">
        <v>31</v>
      </c>
      <c r="J3391" s="3" t="s">
        <v>6195</v>
      </c>
      <c r="K3391" s="17" t="str">
        <f>HYPERLINK("http://ictvonline.org/taxonomyHistory.asp?taxnode_id=20173573","ICTVonline=20173573")</f>
        <v>ICTVonline=20173573</v>
      </c>
      <c r="L3391" s="3">
        <v>3390</v>
      </c>
    </row>
    <row r="3392" spans="1:12" x14ac:dyDescent="0.15">
      <c r="A3392" s="1" t="s">
        <v>908</v>
      </c>
      <c r="B3392" s="1" t="s">
        <v>3970</v>
      </c>
      <c r="D3392" s="1" t="s">
        <v>3971</v>
      </c>
      <c r="E3392" s="1" t="s">
        <v>4963</v>
      </c>
      <c r="F3392" s="3">
        <v>0</v>
      </c>
      <c r="G3392" s="8" t="s">
        <v>2774</v>
      </c>
      <c r="H3392" s="8" t="s">
        <v>5159</v>
      </c>
      <c r="I3392" s="3">
        <v>31</v>
      </c>
      <c r="J3392" s="3" t="s">
        <v>6195</v>
      </c>
      <c r="K3392" s="17" t="str">
        <f>HYPERLINK("http://ictvonline.org/taxonomyHistory.asp?taxnode_id=20173574","ICTVonline=20173574")</f>
        <v>ICTVonline=20173574</v>
      </c>
      <c r="L3392" s="3">
        <v>3391</v>
      </c>
    </row>
    <row r="3393" spans="1:12" x14ac:dyDescent="0.15">
      <c r="A3393" s="1" t="s">
        <v>908</v>
      </c>
      <c r="B3393" s="1" t="s">
        <v>3970</v>
      </c>
      <c r="D3393" s="1" t="s">
        <v>3971</v>
      </c>
      <c r="E3393" s="1" t="s">
        <v>4964</v>
      </c>
      <c r="F3393" s="3">
        <v>0</v>
      </c>
      <c r="G3393" s="8" t="s">
        <v>2774</v>
      </c>
      <c r="H3393" s="8" t="s">
        <v>5159</v>
      </c>
      <c r="I3393" s="3">
        <v>31</v>
      </c>
      <c r="J3393" s="3" t="s">
        <v>6195</v>
      </c>
      <c r="K3393" s="17" t="str">
        <f>HYPERLINK("http://ictvonline.org/taxonomyHistory.asp?taxnode_id=20173575","ICTVonline=20173575")</f>
        <v>ICTVonline=20173575</v>
      </c>
      <c r="L3393" s="3">
        <v>3392</v>
      </c>
    </row>
    <row r="3394" spans="1:12" x14ac:dyDescent="0.15">
      <c r="A3394" s="1" t="s">
        <v>908</v>
      </c>
      <c r="B3394" s="1" t="s">
        <v>3970</v>
      </c>
      <c r="D3394" s="1" t="s">
        <v>3971</v>
      </c>
      <c r="E3394" s="1" t="s">
        <v>4965</v>
      </c>
      <c r="F3394" s="3">
        <v>0</v>
      </c>
      <c r="G3394" s="8" t="s">
        <v>2774</v>
      </c>
      <c r="H3394" s="8" t="s">
        <v>5159</v>
      </c>
      <c r="I3394" s="3">
        <v>31</v>
      </c>
      <c r="J3394" s="3" t="s">
        <v>6195</v>
      </c>
      <c r="K3394" s="17" t="str">
        <f>HYPERLINK("http://ictvonline.org/taxonomyHistory.asp?taxnode_id=20173576","ICTVonline=20173576")</f>
        <v>ICTVonline=20173576</v>
      </c>
      <c r="L3394" s="3">
        <v>3393</v>
      </c>
    </row>
    <row r="3395" spans="1:12" x14ac:dyDescent="0.15">
      <c r="A3395" s="1" t="s">
        <v>908</v>
      </c>
      <c r="B3395" s="1" t="s">
        <v>3970</v>
      </c>
      <c r="D3395" s="1" t="s">
        <v>3971</v>
      </c>
      <c r="E3395" s="1" t="s">
        <v>4966</v>
      </c>
      <c r="F3395" s="3">
        <v>0</v>
      </c>
      <c r="G3395" s="8" t="s">
        <v>2774</v>
      </c>
      <c r="H3395" s="8" t="s">
        <v>5159</v>
      </c>
      <c r="I3395" s="3">
        <v>31</v>
      </c>
      <c r="J3395" s="3" t="s">
        <v>6195</v>
      </c>
      <c r="K3395" s="17" t="str">
        <f>HYPERLINK("http://ictvonline.org/taxonomyHistory.asp?taxnode_id=20173577","ICTVonline=20173577")</f>
        <v>ICTVonline=20173577</v>
      </c>
      <c r="L3395" s="3">
        <v>3394</v>
      </c>
    </row>
    <row r="3396" spans="1:12" x14ac:dyDescent="0.15">
      <c r="A3396" s="1" t="s">
        <v>908</v>
      </c>
      <c r="B3396" s="1" t="s">
        <v>3970</v>
      </c>
      <c r="D3396" s="1" t="s">
        <v>3971</v>
      </c>
      <c r="E3396" s="1" t="s">
        <v>4967</v>
      </c>
      <c r="F3396" s="3">
        <v>0</v>
      </c>
      <c r="G3396" s="8" t="s">
        <v>2774</v>
      </c>
      <c r="H3396" s="8" t="s">
        <v>5159</v>
      </c>
      <c r="I3396" s="3">
        <v>31</v>
      </c>
      <c r="J3396" s="3" t="s">
        <v>6195</v>
      </c>
      <c r="K3396" s="17" t="str">
        <f>HYPERLINK("http://ictvonline.org/taxonomyHistory.asp?taxnode_id=20173578","ICTVonline=20173578")</f>
        <v>ICTVonline=20173578</v>
      </c>
      <c r="L3396" s="3">
        <v>3395</v>
      </c>
    </row>
    <row r="3397" spans="1:12" x14ac:dyDescent="0.15">
      <c r="A3397" s="1" t="s">
        <v>908</v>
      </c>
      <c r="B3397" s="1" t="s">
        <v>3970</v>
      </c>
      <c r="D3397" s="1" t="s">
        <v>3971</v>
      </c>
      <c r="E3397" s="1" t="s">
        <v>4968</v>
      </c>
      <c r="F3397" s="3">
        <v>0</v>
      </c>
      <c r="G3397" s="8" t="s">
        <v>2774</v>
      </c>
      <c r="H3397" s="8" t="s">
        <v>5159</v>
      </c>
      <c r="I3397" s="3">
        <v>31</v>
      </c>
      <c r="J3397" s="3" t="s">
        <v>6195</v>
      </c>
      <c r="K3397" s="17" t="str">
        <f>HYPERLINK("http://ictvonline.org/taxonomyHistory.asp?taxnode_id=20173579","ICTVonline=20173579")</f>
        <v>ICTVonline=20173579</v>
      </c>
      <c r="L3397" s="3">
        <v>3396</v>
      </c>
    </row>
    <row r="3398" spans="1:12" x14ac:dyDescent="0.15">
      <c r="A3398" s="1" t="s">
        <v>908</v>
      </c>
      <c r="B3398" s="1" t="s">
        <v>3970</v>
      </c>
      <c r="D3398" s="1" t="s">
        <v>3971</v>
      </c>
      <c r="E3398" s="1" t="s">
        <v>4969</v>
      </c>
      <c r="F3398" s="3">
        <v>0</v>
      </c>
      <c r="G3398" s="8" t="s">
        <v>2774</v>
      </c>
      <c r="H3398" s="8" t="s">
        <v>5159</v>
      </c>
      <c r="I3398" s="3">
        <v>31</v>
      </c>
      <c r="J3398" s="3" t="s">
        <v>6195</v>
      </c>
      <c r="K3398" s="17" t="str">
        <f>HYPERLINK("http://ictvonline.org/taxonomyHistory.asp?taxnode_id=20173580","ICTVonline=20173580")</f>
        <v>ICTVonline=20173580</v>
      </c>
      <c r="L3398" s="3">
        <v>3397</v>
      </c>
    </row>
    <row r="3399" spans="1:12" x14ac:dyDescent="0.15">
      <c r="A3399" s="1" t="s">
        <v>908</v>
      </c>
      <c r="B3399" s="1" t="s">
        <v>3970</v>
      </c>
      <c r="D3399" s="1" t="s">
        <v>3971</v>
      </c>
      <c r="E3399" s="1" t="s">
        <v>4970</v>
      </c>
      <c r="F3399" s="3">
        <v>0</v>
      </c>
      <c r="G3399" s="8" t="s">
        <v>2774</v>
      </c>
      <c r="H3399" s="8" t="s">
        <v>5159</v>
      </c>
      <c r="I3399" s="3">
        <v>31</v>
      </c>
      <c r="J3399" s="3" t="s">
        <v>6195</v>
      </c>
      <c r="K3399" s="17" t="str">
        <f>HYPERLINK("http://ictvonline.org/taxonomyHistory.asp?taxnode_id=20173581","ICTVonline=20173581")</f>
        <v>ICTVonline=20173581</v>
      </c>
      <c r="L3399" s="3">
        <v>3398</v>
      </c>
    </row>
    <row r="3400" spans="1:12" x14ac:dyDescent="0.15">
      <c r="A3400" s="1" t="s">
        <v>908</v>
      </c>
      <c r="B3400" s="1" t="s">
        <v>3970</v>
      </c>
      <c r="D3400" s="1" t="s">
        <v>3971</v>
      </c>
      <c r="E3400" s="1" t="s">
        <v>4971</v>
      </c>
      <c r="F3400" s="3">
        <v>0</v>
      </c>
      <c r="G3400" s="8" t="s">
        <v>2774</v>
      </c>
      <c r="H3400" s="8" t="s">
        <v>5159</v>
      </c>
      <c r="I3400" s="3">
        <v>31</v>
      </c>
      <c r="J3400" s="3" t="s">
        <v>6195</v>
      </c>
      <c r="K3400" s="17" t="str">
        <f>HYPERLINK("http://ictvonline.org/taxonomyHistory.asp?taxnode_id=20173582","ICTVonline=20173582")</f>
        <v>ICTVonline=20173582</v>
      </c>
      <c r="L3400" s="3">
        <v>3399</v>
      </c>
    </row>
    <row r="3401" spans="1:12" x14ac:dyDescent="0.15">
      <c r="A3401" s="1" t="s">
        <v>908</v>
      </c>
      <c r="B3401" s="1" t="s">
        <v>3970</v>
      </c>
      <c r="D3401" s="1" t="s">
        <v>3971</v>
      </c>
      <c r="E3401" s="1" t="s">
        <v>4972</v>
      </c>
      <c r="F3401" s="3">
        <v>0</v>
      </c>
      <c r="G3401" s="8" t="s">
        <v>2774</v>
      </c>
      <c r="H3401" s="8" t="s">
        <v>5159</v>
      </c>
      <c r="I3401" s="3">
        <v>31</v>
      </c>
      <c r="J3401" s="3" t="s">
        <v>6195</v>
      </c>
      <c r="K3401" s="17" t="str">
        <f>HYPERLINK("http://ictvonline.org/taxonomyHistory.asp?taxnode_id=20173583","ICTVonline=20173583")</f>
        <v>ICTVonline=20173583</v>
      </c>
      <c r="L3401" s="3">
        <v>3400</v>
      </c>
    </row>
    <row r="3402" spans="1:12" x14ac:dyDescent="0.15">
      <c r="A3402" s="1" t="s">
        <v>908</v>
      </c>
      <c r="B3402" s="1" t="s">
        <v>3970</v>
      </c>
      <c r="D3402" s="1" t="s">
        <v>3971</v>
      </c>
      <c r="E3402" s="1" t="s">
        <v>4973</v>
      </c>
      <c r="F3402" s="3">
        <v>0</v>
      </c>
      <c r="G3402" s="8" t="s">
        <v>2774</v>
      </c>
      <c r="H3402" s="8" t="s">
        <v>5159</v>
      </c>
      <c r="I3402" s="3">
        <v>31</v>
      </c>
      <c r="J3402" s="3" t="s">
        <v>6195</v>
      </c>
      <c r="K3402" s="17" t="str">
        <f>HYPERLINK("http://ictvonline.org/taxonomyHistory.asp?taxnode_id=20173584","ICTVonline=20173584")</f>
        <v>ICTVonline=20173584</v>
      </c>
      <c r="L3402" s="3">
        <v>3401</v>
      </c>
    </row>
    <row r="3403" spans="1:12" x14ac:dyDescent="0.15">
      <c r="A3403" s="1" t="s">
        <v>908</v>
      </c>
      <c r="B3403" s="1" t="s">
        <v>3970</v>
      </c>
      <c r="D3403" s="1" t="s">
        <v>3971</v>
      </c>
      <c r="E3403" s="1" t="s">
        <v>4974</v>
      </c>
      <c r="F3403" s="3">
        <v>0</v>
      </c>
      <c r="G3403" s="8" t="s">
        <v>2774</v>
      </c>
      <c r="H3403" s="8" t="s">
        <v>5159</v>
      </c>
      <c r="I3403" s="3">
        <v>31</v>
      </c>
      <c r="J3403" s="3" t="s">
        <v>6195</v>
      </c>
      <c r="K3403" s="17" t="str">
        <f>HYPERLINK("http://ictvonline.org/taxonomyHistory.asp?taxnode_id=20173585","ICTVonline=20173585")</f>
        <v>ICTVonline=20173585</v>
      </c>
      <c r="L3403" s="3">
        <v>3402</v>
      </c>
    </row>
    <row r="3404" spans="1:12" x14ac:dyDescent="0.15">
      <c r="A3404" s="1" t="s">
        <v>908</v>
      </c>
      <c r="B3404" s="1" t="s">
        <v>3970</v>
      </c>
      <c r="D3404" s="1" t="s">
        <v>3971</v>
      </c>
      <c r="E3404" s="1" t="s">
        <v>4975</v>
      </c>
      <c r="F3404" s="3">
        <v>0</v>
      </c>
      <c r="G3404" s="8" t="s">
        <v>2774</v>
      </c>
      <c r="H3404" s="8" t="s">
        <v>5159</v>
      </c>
      <c r="I3404" s="3">
        <v>31</v>
      </c>
      <c r="J3404" s="3" t="s">
        <v>6195</v>
      </c>
      <c r="K3404" s="17" t="str">
        <f>HYPERLINK("http://ictvonline.org/taxonomyHistory.asp?taxnode_id=20173586","ICTVonline=20173586")</f>
        <v>ICTVonline=20173586</v>
      </c>
      <c r="L3404" s="3">
        <v>3403</v>
      </c>
    </row>
    <row r="3405" spans="1:12" x14ac:dyDescent="0.15">
      <c r="A3405" s="1" t="s">
        <v>908</v>
      </c>
      <c r="B3405" s="1" t="s">
        <v>3970</v>
      </c>
      <c r="D3405" s="1" t="s">
        <v>3971</v>
      </c>
      <c r="E3405" s="1" t="s">
        <v>4976</v>
      </c>
      <c r="F3405" s="3">
        <v>0</v>
      </c>
      <c r="G3405" s="8" t="s">
        <v>2774</v>
      </c>
      <c r="H3405" s="8" t="s">
        <v>5159</v>
      </c>
      <c r="I3405" s="3">
        <v>31</v>
      </c>
      <c r="J3405" s="3" t="s">
        <v>6195</v>
      </c>
      <c r="K3405" s="17" t="str">
        <f>HYPERLINK("http://ictvonline.org/taxonomyHistory.asp?taxnode_id=20173587","ICTVonline=20173587")</f>
        <v>ICTVonline=20173587</v>
      </c>
      <c r="L3405" s="3">
        <v>3404</v>
      </c>
    </row>
    <row r="3406" spans="1:12" x14ac:dyDescent="0.15">
      <c r="A3406" s="1" t="s">
        <v>908</v>
      </c>
      <c r="B3406" s="1" t="s">
        <v>3970</v>
      </c>
      <c r="D3406" s="1" t="s">
        <v>3971</v>
      </c>
      <c r="E3406" s="1" t="s">
        <v>3972</v>
      </c>
      <c r="F3406" s="3">
        <v>1</v>
      </c>
      <c r="G3406" s="8" t="s">
        <v>2774</v>
      </c>
      <c r="H3406" s="8" t="s">
        <v>5159</v>
      </c>
      <c r="I3406" s="3">
        <v>30</v>
      </c>
      <c r="J3406" s="3" t="s">
        <v>6196</v>
      </c>
      <c r="K3406" s="17" t="str">
        <f>HYPERLINK("http://ictvonline.org/taxonomyHistory.asp?taxnode_id=20173588","ICTVonline=20173588")</f>
        <v>ICTVonline=20173588</v>
      </c>
      <c r="L3406" s="3">
        <v>3405</v>
      </c>
    </row>
    <row r="3407" spans="1:12" x14ac:dyDescent="0.15">
      <c r="A3407" s="1" t="s">
        <v>908</v>
      </c>
      <c r="B3407" s="1" t="s">
        <v>3970</v>
      </c>
      <c r="D3407" s="1" t="s">
        <v>3971</v>
      </c>
      <c r="E3407" s="1" t="s">
        <v>4977</v>
      </c>
      <c r="F3407" s="3">
        <v>0</v>
      </c>
      <c r="G3407" s="8" t="s">
        <v>2774</v>
      </c>
      <c r="H3407" s="8" t="s">
        <v>5159</v>
      </c>
      <c r="I3407" s="3">
        <v>31</v>
      </c>
      <c r="J3407" s="3" t="s">
        <v>6195</v>
      </c>
      <c r="K3407" s="17" t="str">
        <f>HYPERLINK("http://ictvonline.org/taxonomyHistory.asp?taxnode_id=20173589","ICTVonline=20173589")</f>
        <v>ICTVonline=20173589</v>
      </c>
      <c r="L3407" s="3">
        <v>3406</v>
      </c>
    </row>
    <row r="3408" spans="1:12" x14ac:dyDescent="0.15">
      <c r="A3408" s="1" t="s">
        <v>908</v>
      </c>
      <c r="B3408" s="1" t="s">
        <v>3970</v>
      </c>
      <c r="D3408" s="1" t="s">
        <v>3971</v>
      </c>
      <c r="E3408" s="1" t="s">
        <v>4978</v>
      </c>
      <c r="F3408" s="3">
        <v>0</v>
      </c>
      <c r="G3408" s="8" t="s">
        <v>2774</v>
      </c>
      <c r="H3408" s="8" t="s">
        <v>5159</v>
      </c>
      <c r="I3408" s="3">
        <v>31</v>
      </c>
      <c r="J3408" s="3" t="s">
        <v>6195</v>
      </c>
      <c r="K3408" s="17" t="str">
        <f>HYPERLINK("http://ictvonline.org/taxonomyHistory.asp?taxnode_id=20173590","ICTVonline=20173590")</f>
        <v>ICTVonline=20173590</v>
      </c>
      <c r="L3408" s="3">
        <v>3407</v>
      </c>
    </row>
    <row r="3409" spans="1:12" x14ac:dyDescent="0.15">
      <c r="A3409" s="1" t="s">
        <v>908</v>
      </c>
      <c r="B3409" s="1" t="s">
        <v>3970</v>
      </c>
      <c r="D3409" s="1" t="s">
        <v>3971</v>
      </c>
      <c r="E3409" s="1" t="s">
        <v>4979</v>
      </c>
      <c r="F3409" s="3">
        <v>0</v>
      </c>
      <c r="G3409" s="8" t="s">
        <v>2774</v>
      </c>
      <c r="H3409" s="8" t="s">
        <v>5159</v>
      </c>
      <c r="I3409" s="3">
        <v>31</v>
      </c>
      <c r="J3409" s="3" t="s">
        <v>6195</v>
      </c>
      <c r="K3409" s="17" t="str">
        <f>HYPERLINK("http://ictvonline.org/taxonomyHistory.asp?taxnode_id=20173591","ICTVonline=20173591")</f>
        <v>ICTVonline=20173591</v>
      </c>
      <c r="L3409" s="3">
        <v>3408</v>
      </c>
    </row>
    <row r="3410" spans="1:12" x14ac:dyDescent="0.15">
      <c r="A3410" s="1" t="s">
        <v>908</v>
      </c>
      <c r="B3410" s="1" t="s">
        <v>3970</v>
      </c>
      <c r="D3410" s="1" t="s">
        <v>3971</v>
      </c>
      <c r="E3410" s="1" t="s">
        <v>4980</v>
      </c>
      <c r="F3410" s="3">
        <v>0</v>
      </c>
      <c r="G3410" s="8" t="s">
        <v>2774</v>
      </c>
      <c r="H3410" s="8" t="s">
        <v>5159</v>
      </c>
      <c r="I3410" s="3">
        <v>31</v>
      </c>
      <c r="J3410" s="3" t="s">
        <v>6195</v>
      </c>
      <c r="K3410" s="17" t="str">
        <f>HYPERLINK("http://ictvonline.org/taxonomyHistory.asp?taxnode_id=20173592","ICTVonline=20173592")</f>
        <v>ICTVonline=20173592</v>
      </c>
      <c r="L3410" s="3">
        <v>3409</v>
      </c>
    </row>
    <row r="3411" spans="1:12" x14ac:dyDescent="0.15">
      <c r="A3411" s="1" t="s">
        <v>908</v>
      </c>
      <c r="B3411" s="1" t="s">
        <v>3970</v>
      </c>
      <c r="D3411" s="1" t="s">
        <v>3971</v>
      </c>
      <c r="E3411" s="1" t="s">
        <v>4981</v>
      </c>
      <c r="F3411" s="3">
        <v>0</v>
      </c>
      <c r="G3411" s="8" t="s">
        <v>2774</v>
      </c>
      <c r="H3411" s="8" t="s">
        <v>5159</v>
      </c>
      <c r="I3411" s="3">
        <v>31</v>
      </c>
      <c r="J3411" s="3" t="s">
        <v>6195</v>
      </c>
      <c r="K3411" s="17" t="str">
        <f>HYPERLINK("http://ictvonline.org/taxonomyHistory.asp?taxnode_id=20173593","ICTVonline=20173593")</f>
        <v>ICTVonline=20173593</v>
      </c>
      <c r="L3411" s="3">
        <v>3410</v>
      </c>
    </row>
    <row r="3412" spans="1:12" x14ac:dyDescent="0.15">
      <c r="A3412" s="1" t="s">
        <v>908</v>
      </c>
      <c r="B3412" s="1" t="s">
        <v>3970</v>
      </c>
      <c r="D3412" s="1" t="s">
        <v>3971</v>
      </c>
      <c r="E3412" s="1" t="s">
        <v>4982</v>
      </c>
      <c r="F3412" s="3">
        <v>0</v>
      </c>
      <c r="G3412" s="8" t="s">
        <v>2774</v>
      </c>
      <c r="H3412" s="8" t="s">
        <v>5159</v>
      </c>
      <c r="I3412" s="3">
        <v>31</v>
      </c>
      <c r="J3412" s="3" t="s">
        <v>6195</v>
      </c>
      <c r="K3412" s="17" t="str">
        <f>HYPERLINK("http://ictvonline.org/taxonomyHistory.asp?taxnode_id=20173594","ICTVonline=20173594")</f>
        <v>ICTVonline=20173594</v>
      </c>
      <c r="L3412" s="3">
        <v>3411</v>
      </c>
    </row>
    <row r="3413" spans="1:12" x14ac:dyDescent="0.15">
      <c r="A3413" s="1" t="s">
        <v>908</v>
      </c>
      <c r="B3413" s="1" t="s">
        <v>3970</v>
      </c>
      <c r="D3413" s="1" t="s">
        <v>3971</v>
      </c>
      <c r="E3413" s="1" t="s">
        <v>4983</v>
      </c>
      <c r="F3413" s="3">
        <v>0</v>
      </c>
      <c r="G3413" s="8" t="s">
        <v>2774</v>
      </c>
      <c r="H3413" s="8" t="s">
        <v>5159</v>
      </c>
      <c r="I3413" s="3">
        <v>31</v>
      </c>
      <c r="J3413" s="3" t="s">
        <v>6195</v>
      </c>
      <c r="K3413" s="17" t="str">
        <f>HYPERLINK("http://ictvonline.org/taxonomyHistory.asp?taxnode_id=20173595","ICTVonline=20173595")</f>
        <v>ICTVonline=20173595</v>
      </c>
      <c r="L3413" s="3">
        <v>3412</v>
      </c>
    </row>
    <row r="3414" spans="1:12" x14ac:dyDescent="0.15">
      <c r="A3414" s="1" t="s">
        <v>908</v>
      </c>
      <c r="B3414" s="1" t="s">
        <v>3970</v>
      </c>
      <c r="D3414" s="1" t="s">
        <v>4984</v>
      </c>
      <c r="E3414" s="1" t="s">
        <v>4985</v>
      </c>
      <c r="F3414" s="3">
        <v>1</v>
      </c>
      <c r="G3414" s="8" t="s">
        <v>2774</v>
      </c>
      <c r="H3414" s="8" t="s">
        <v>5159</v>
      </c>
      <c r="I3414" s="3">
        <v>31</v>
      </c>
      <c r="J3414" s="3" t="s">
        <v>6195</v>
      </c>
      <c r="K3414" s="17" t="str">
        <f>HYPERLINK("http://ictvonline.org/taxonomyHistory.asp?taxnode_id=20173597","ICTVonline=20173597")</f>
        <v>ICTVonline=20173597</v>
      </c>
      <c r="L3414" s="3">
        <v>3413</v>
      </c>
    </row>
    <row r="3415" spans="1:12" x14ac:dyDescent="0.15">
      <c r="A3415" s="1" t="s">
        <v>908</v>
      </c>
      <c r="B3415" s="1" t="s">
        <v>3970</v>
      </c>
      <c r="D3415" s="1" t="s">
        <v>4986</v>
      </c>
      <c r="E3415" s="1" t="s">
        <v>4987</v>
      </c>
      <c r="F3415" s="3">
        <v>0</v>
      </c>
      <c r="G3415" s="8" t="s">
        <v>2774</v>
      </c>
      <c r="H3415" s="8" t="s">
        <v>5159</v>
      </c>
      <c r="I3415" s="3">
        <v>31</v>
      </c>
      <c r="J3415" s="3" t="s">
        <v>6195</v>
      </c>
      <c r="K3415" s="17" t="str">
        <f>HYPERLINK("http://ictvonline.org/taxonomyHistory.asp?taxnode_id=20173599","ICTVonline=20173599")</f>
        <v>ICTVonline=20173599</v>
      </c>
      <c r="L3415" s="3">
        <v>3414</v>
      </c>
    </row>
    <row r="3416" spans="1:12" x14ac:dyDescent="0.15">
      <c r="A3416" s="1" t="s">
        <v>908</v>
      </c>
      <c r="B3416" s="1" t="s">
        <v>3970</v>
      </c>
      <c r="D3416" s="1" t="s">
        <v>4986</v>
      </c>
      <c r="E3416" s="1" t="s">
        <v>4988</v>
      </c>
      <c r="F3416" s="3">
        <v>0</v>
      </c>
      <c r="G3416" s="8" t="s">
        <v>2774</v>
      </c>
      <c r="H3416" s="8" t="s">
        <v>5159</v>
      </c>
      <c r="I3416" s="3">
        <v>31</v>
      </c>
      <c r="J3416" s="3" t="s">
        <v>6195</v>
      </c>
      <c r="K3416" s="17" t="str">
        <f>HYPERLINK("http://ictvonline.org/taxonomyHistory.asp?taxnode_id=20173600","ICTVonline=20173600")</f>
        <v>ICTVonline=20173600</v>
      </c>
      <c r="L3416" s="3">
        <v>3415</v>
      </c>
    </row>
    <row r="3417" spans="1:12" x14ac:dyDescent="0.15">
      <c r="A3417" s="1" t="s">
        <v>908</v>
      </c>
      <c r="B3417" s="1" t="s">
        <v>3970</v>
      </c>
      <c r="D3417" s="1" t="s">
        <v>4986</v>
      </c>
      <c r="E3417" s="1" t="s">
        <v>4989</v>
      </c>
      <c r="F3417" s="3">
        <v>0</v>
      </c>
      <c r="G3417" s="8" t="s">
        <v>2774</v>
      </c>
      <c r="H3417" s="8" t="s">
        <v>5159</v>
      </c>
      <c r="I3417" s="3">
        <v>31</v>
      </c>
      <c r="J3417" s="3" t="s">
        <v>6195</v>
      </c>
      <c r="K3417" s="17" t="str">
        <f>HYPERLINK("http://ictvonline.org/taxonomyHistory.asp?taxnode_id=20173601","ICTVonline=20173601")</f>
        <v>ICTVonline=20173601</v>
      </c>
      <c r="L3417" s="3">
        <v>3416</v>
      </c>
    </row>
    <row r="3418" spans="1:12" x14ac:dyDescent="0.15">
      <c r="A3418" s="1" t="s">
        <v>908</v>
      </c>
      <c r="B3418" s="1" t="s">
        <v>3970</v>
      </c>
      <c r="D3418" s="1" t="s">
        <v>4986</v>
      </c>
      <c r="E3418" s="1" t="s">
        <v>4990</v>
      </c>
      <c r="F3418" s="3">
        <v>0</v>
      </c>
      <c r="G3418" s="8" t="s">
        <v>2774</v>
      </c>
      <c r="H3418" s="8" t="s">
        <v>5159</v>
      </c>
      <c r="I3418" s="3">
        <v>31</v>
      </c>
      <c r="J3418" s="3" t="s">
        <v>6195</v>
      </c>
      <c r="K3418" s="17" t="str">
        <f>HYPERLINK("http://ictvonline.org/taxonomyHistory.asp?taxnode_id=20173602","ICTVonline=20173602")</f>
        <v>ICTVonline=20173602</v>
      </c>
      <c r="L3418" s="3">
        <v>3417</v>
      </c>
    </row>
    <row r="3419" spans="1:12" x14ac:dyDescent="0.15">
      <c r="A3419" s="1" t="s">
        <v>908</v>
      </c>
      <c r="B3419" s="1" t="s">
        <v>3970</v>
      </c>
      <c r="D3419" s="1" t="s">
        <v>4986</v>
      </c>
      <c r="E3419" s="1" t="s">
        <v>4991</v>
      </c>
      <c r="F3419" s="3">
        <v>1</v>
      </c>
      <c r="G3419" s="8" t="s">
        <v>2774</v>
      </c>
      <c r="H3419" s="8" t="s">
        <v>5159</v>
      </c>
      <c r="I3419" s="3">
        <v>31</v>
      </c>
      <c r="J3419" s="3" t="s">
        <v>6195</v>
      </c>
      <c r="K3419" s="17" t="str">
        <f>HYPERLINK("http://ictvonline.org/taxonomyHistory.asp?taxnode_id=20173603","ICTVonline=20173603")</f>
        <v>ICTVonline=20173603</v>
      </c>
      <c r="L3419" s="3">
        <v>3418</v>
      </c>
    </row>
    <row r="3420" spans="1:12" x14ac:dyDescent="0.15">
      <c r="A3420" s="1" t="s">
        <v>908</v>
      </c>
      <c r="B3420" s="1" t="s">
        <v>3970</v>
      </c>
      <c r="D3420" s="1" t="s">
        <v>4992</v>
      </c>
      <c r="E3420" s="1" t="s">
        <v>4993</v>
      </c>
      <c r="F3420" s="3">
        <v>0</v>
      </c>
      <c r="G3420" s="8" t="s">
        <v>2774</v>
      </c>
      <c r="H3420" s="8" t="s">
        <v>5159</v>
      </c>
      <c r="I3420" s="3">
        <v>31</v>
      </c>
      <c r="J3420" s="3" t="s">
        <v>6195</v>
      </c>
      <c r="K3420" s="17" t="str">
        <f>HYPERLINK("http://ictvonline.org/taxonomyHistory.asp?taxnode_id=20173605","ICTVonline=20173605")</f>
        <v>ICTVonline=20173605</v>
      </c>
      <c r="L3420" s="3">
        <v>3419</v>
      </c>
    </row>
    <row r="3421" spans="1:12" x14ac:dyDescent="0.15">
      <c r="A3421" s="1" t="s">
        <v>908</v>
      </c>
      <c r="B3421" s="1" t="s">
        <v>3970</v>
      </c>
      <c r="D3421" s="1" t="s">
        <v>4992</v>
      </c>
      <c r="E3421" s="1" t="s">
        <v>4994</v>
      </c>
      <c r="F3421" s="3">
        <v>0</v>
      </c>
      <c r="G3421" s="8" t="s">
        <v>2774</v>
      </c>
      <c r="H3421" s="8" t="s">
        <v>5159</v>
      </c>
      <c r="I3421" s="3">
        <v>31</v>
      </c>
      <c r="J3421" s="3" t="s">
        <v>6195</v>
      </c>
      <c r="K3421" s="17" t="str">
        <f>HYPERLINK("http://ictvonline.org/taxonomyHistory.asp?taxnode_id=20173606","ICTVonline=20173606")</f>
        <v>ICTVonline=20173606</v>
      </c>
      <c r="L3421" s="3">
        <v>3420</v>
      </c>
    </row>
    <row r="3422" spans="1:12" x14ac:dyDescent="0.15">
      <c r="A3422" s="1" t="s">
        <v>908</v>
      </c>
      <c r="B3422" s="1" t="s">
        <v>3970</v>
      </c>
      <c r="D3422" s="1" t="s">
        <v>4992</v>
      </c>
      <c r="E3422" s="1" t="s">
        <v>4995</v>
      </c>
      <c r="F3422" s="3">
        <v>0</v>
      </c>
      <c r="G3422" s="8" t="s">
        <v>2774</v>
      </c>
      <c r="H3422" s="8" t="s">
        <v>5159</v>
      </c>
      <c r="I3422" s="3">
        <v>31</v>
      </c>
      <c r="J3422" s="3" t="s">
        <v>6195</v>
      </c>
      <c r="K3422" s="17" t="str">
        <f>HYPERLINK("http://ictvonline.org/taxonomyHistory.asp?taxnode_id=20173607","ICTVonline=20173607")</f>
        <v>ICTVonline=20173607</v>
      </c>
      <c r="L3422" s="3">
        <v>3421</v>
      </c>
    </row>
    <row r="3423" spans="1:12" x14ac:dyDescent="0.15">
      <c r="A3423" s="1" t="s">
        <v>908</v>
      </c>
      <c r="B3423" s="1" t="s">
        <v>3970</v>
      </c>
      <c r="D3423" s="1" t="s">
        <v>4992</v>
      </c>
      <c r="E3423" s="1" t="s">
        <v>4996</v>
      </c>
      <c r="F3423" s="3">
        <v>0</v>
      </c>
      <c r="G3423" s="8" t="s">
        <v>2774</v>
      </c>
      <c r="H3423" s="8" t="s">
        <v>5159</v>
      </c>
      <c r="I3423" s="3">
        <v>31</v>
      </c>
      <c r="J3423" s="3" t="s">
        <v>6195</v>
      </c>
      <c r="K3423" s="17" t="str">
        <f>HYPERLINK("http://ictvonline.org/taxonomyHistory.asp?taxnode_id=20173608","ICTVonline=20173608")</f>
        <v>ICTVonline=20173608</v>
      </c>
      <c r="L3423" s="3">
        <v>3422</v>
      </c>
    </row>
    <row r="3424" spans="1:12" x14ac:dyDescent="0.15">
      <c r="A3424" s="1" t="s">
        <v>908</v>
      </c>
      <c r="B3424" s="1" t="s">
        <v>3970</v>
      </c>
      <c r="D3424" s="1" t="s">
        <v>4992</v>
      </c>
      <c r="E3424" s="1" t="s">
        <v>4997</v>
      </c>
      <c r="F3424" s="3">
        <v>1</v>
      </c>
      <c r="G3424" s="8" t="s">
        <v>2774</v>
      </c>
      <c r="H3424" s="8" t="s">
        <v>5159</v>
      </c>
      <c r="I3424" s="3">
        <v>31</v>
      </c>
      <c r="J3424" s="3" t="s">
        <v>6195</v>
      </c>
      <c r="K3424" s="17" t="str">
        <f>HYPERLINK("http://ictvonline.org/taxonomyHistory.asp?taxnode_id=20173609","ICTVonline=20173609")</f>
        <v>ICTVonline=20173609</v>
      </c>
      <c r="L3424" s="3">
        <v>3423</v>
      </c>
    </row>
    <row r="3425" spans="1:12" x14ac:dyDescent="0.15">
      <c r="A3425" s="1" t="s">
        <v>908</v>
      </c>
      <c r="B3425" s="1" t="s">
        <v>3970</v>
      </c>
      <c r="D3425" s="1" t="s">
        <v>4992</v>
      </c>
      <c r="E3425" s="1" t="s">
        <v>4998</v>
      </c>
      <c r="F3425" s="3">
        <v>0</v>
      </c>
      <c r="G3425" s="8" t="s">
        <v>2774</v>
      </c>
      <c r="H3425" s="8" t="s">
        <v>5159</v>
      </c>
      <c r="I3425" s="3">
        <v>31</v>
      </c>
      <c r="J3425" s="3" t="s">
        <v>6195</v>
      </c>
      <c r="K3425" s="17" t="str">
        <f>HYPERLINK("http://ictvonline.org/taxonomyHistory.asp?taxnode_id=20173610","ICTVonline=20173610")</f>
        <v>ICTVonline=20173610</v>
      </c>
      <c r="L3425" s="3">
        <v>3424</v>
      </c>
    </row>
    <row r="3426" spans="1:12" x14ac:dyDescent="0.15">
      <c r="A3426" s="1" t="s">
        <v>908</v>
      </c>
      <c r="B3426" s="1" t="s">
        <v>3970</v>
      </c>
      <c r="D3426" s="1" t="s">
        <v>4992</v>
      </c>
      <c r="E3426" s="1" t="s">
        <v>4999</v>
      </c>
      <c r="F3426" s="3">
        <v>0</v>
      </c>
      <c r="G3426" s="8" t="s">
        <v>2774</v>
      </c>
      <c r="H3426" s="8" t="s">
        <v>5159</v>
      </c>
      <c r="I3426" s="3">
        <v>31</v>
      </c>
      <c r="J3426" s="3" t="s">
        <v>6195</v>
      </c>
      <c r="K3426" s="17" t="str">
        <f>HYPERLINK("http://ictvonline.org/taxonomyHistory.asp?taxnode_id=20173611","ICTVonline=20173611")</f>
        <v>ICTVonline=20173611</v>
      </c>
      <c r="L3426" s="3">
        <v>3425</v>
      </c>
    </row>
    <row r="3427" spans="1:12" x14ac:dyDescent="0.15">
      <c r="A3427" s="1" t="s">
        <v>908</v>
      </c>
      <c r="B3427" s="1" t="s">
        <v>3970</v>
      </c>
      <c r="D3427" s="1" t="s">
        <v>4992</v>
      </c>
      <c r="E3427" s="1" t="s">
        <v>5000</v>
      </c>
      <c r="F3427" s="3">
        <v>0</v>
      </c>
      <c r="G3427" s="8" t="s">
        <v>2774</v>
      </c>
      <c r="H3427" s="8" t="s">
        <v>5159</v>
      </c>
      <c r="I3427" s="3">
        <v>31</v>
      </c>
      <c r="J3427" s="3" t="s">
        <v>6195</v>
      </c>
      <c r="K3427" s="17" t="str">
        <f>HYPERLINK("http://ictvonline.org/taxonomyHistory.asp?taxnode_id=20173612","ICTVonline=20173612")</f>
        <v>ICTVonline=20173612</v>
      </c>
      <c r="L3427" s="3">
        <v>3426</v>
      </c>
    </row>
    <row r="3428" spans="1:12" x14ac:dyDescent="0.15">
      <c r="A3428" s="1" t="s">
        <v>908</v>
      </c>
      <c r="B3428" s="1" t="s">
        <v>3970</v>
      </c>
      <c r="D3428" s="1" t="s">
        <v>4992</v>
      </c>
      <c r="E3428" s="1" t="s">
        <v>5001</v>
      </c>
      <c r="F3428" s="3">
        <v>0</v>
      </c>
      <c r="G3428" s="8" t="s">
        <v>2774</v>
      </c>
      <c r="H3428" s="8" t="s">
        <v>5159</v>
      </c>
      <c r="I3428" s="3">
        <v>31</v>
      </c>
      <c r="J3428" s="3" t="s">
        <v>6195</v>
      </c>
      <c r="K3428" s="17" t="str">
        <f>HYPERLINK("http://ictvonline.org/taxonomyHistory.asp?taxnode_id=20173613","ICTVonline=20173613")</f>
        <v>ICTVonline=20173613</v>
      </c>
      <c r="L3428" s="3">
        <v>3427</v>
      </c>
    </row>
    <row r="3429" spans="1:12" x14ac:dyDescent="0.15">
      <c r="A3429" s="1" t="s">
        <v>908</v>
      </c>
      <c r="B3429" s="1" t="s">
        <v>3970</v>
      </c>
      <c r="D3429" s="1" t="s">
        <v>4992</v>
      </c>
      <c r="E3429" s="1" t="s">
        <v>5002</v>
      </c>
      <c r="F3429" s="3">
        <v>0</v>
      </c>
      <c r="G3429" s="8" t="s">
        <v>2774</v>
      </c>
      <c r="H3429" s="8" t="s">
        <v>5159</v>
      </c>
      <c r="I3429" s="3">
        <v>31</v>
      </c>
      <c r="J3429" s="3" t="s">
        <v>6195</v>
      </c>
      <c r="K3429" s="17" t="str">
        <f>HYPERLINK("http://ictvonline.org/taxonomyHistory.asp?taxnode_id=20173614","ICTVonline=20173614")</f>
        <v>ICTVonline=20173614</v>
      </c>
      <c r="L3429" s="3">
        <v>3428</v>
      </c>
    </row>
    <row r="3430" spans="1:12" x14ac:dyDescent="0.15">
      <c r="A3430" s="1" t="s">
        <v>908</v>
      </c>
      <c r="B3430" s="1" t="s">
        <v>3970</v>
      </c>
      <c r="D3430" s="1" t="s">
        <v>4992</v>
      </c>
      <c r="E3430" s="1" t="s">
        <v>5003</v>
      </c>
      <c r="F3430" s="3">
        <v>0</v>
      </c>
      <c r="G3430" s="8" t="s">
        <v>2774</v>
      </c>
      <c r="H3430" s="8" t="s">
        <v>5159</v>
      </c>
      <c r="I3430" s="3">
        <v>31</v>
      </c>
      <c r="J3430" s="3" t="s">
        <v>6195</v>
      </c>
      <c r="K3430" s="17" t="str">
        <f>HYPERLINK("http://ictvonline.org/taxonomyHistory.asp?taxnode_id=20173615","ICTVonline=20173615")</f>
        <v>ICTVonline=20173615</v>
      </c>
      <c r="L3430" s="3">
        <v>3429</v>
      </c>
    </row>
    <row r="3431" spans="1:12" x14ac:dyDescent="0.15">
      <c r="A3431" s="1" t="s">
        <v>908</v>
      </c>
      <c r="B3431" s="1" t="s">
        <v>3970</v>
      </c>
      <c r="D3431" s="1" t="s">
        <v>4992</v>
      </c>
      <c r="E3431" s="1" t="s">
        <v>5004</v>
      </c>
      <c r="F3431" s="3">
        <v>0</v>
      </c>
      <c r="G3431" s="8" t="s">
        <v>2774</v>
      </c>
      <c r="H3431" s="8" t="s">
        <v>5159</v>
      </c>
      <c r="I3431" s="3">
        <v>31</v>
      </c>
      <c r="J3431" s="3" t="s">
        <v>6195</v>
      </c>
      <c r="K3431" s="17" t="str">
        <f>HYPERLINK("http://ictvonline.org/taxonomyHistory.asp?taxnode_id=20173616","ICTVonline=20173616")</f>
        <v>ICTVonline=20173616</v>
      </c>
      <c r="L3431" s="3">
        <v>3430</v>
      </c>
    </row>
    <row r="3432" spans="1:12" x14ac:dyDescent="0.15">
      <c r="A3432" s="1" t="s">
        <v>908</v>
      </c>
      <c r="B3432" s="1" t="s">
        <v>3970</v>
      </c>
      <c r="D3432" s="1" t="s">
        <v>4992</v>
      </c>
      <c r="E3432" s="1" t="s">
        <v>5005</v>
      </c>
      <c r="F3432" s="3">
        <v>0</v>
      </c>
      <c r="G3432" s="8" t="s">
        <v>2774</v>
      </c>
      <c r="H3432" s="8" t="s">
        <v>5159</v>
      </c>
      <c r="I3432" s="3">
        <v>31</v>
      </c>
      <c r="J3432" s="3" t="s">
        <v>6195</v>
      </c>
      <c r="K3432" s="17" t="str">
        <f>HYPERLINK("http://ictvonline.org/taxonomyHistory.asp?taxnode_id=20173617","ICTVonline=20173617")</f>
        <v>ICTVonline=20173617</v>
      </c>
      <c r="L3432" s="3">
        <v>3431</v>
      </c>
    </row>
    <row r="3433" spans="1:12" x14ac:dyDescent="0.15">
      <c r="A3433" s="1" t="s">
        <v>908</v>
      </c>
      <c r="B3433" s="1" t="s">
        <v>3970</v>
      </c>
      <c r="D3433" s="1" t="s">
        <v>4992</v>
      </c>
      <c r="E3433" s="1" t="s">
        <v>5006</v>
      </c>
      <c r="F3433" s="3">
        <v>0</v>
      </c>
      <c r="G3433" s="8" t="s">
        <v>2774</v>
      </c>
      <c r="H3433" s="8" t="s">
        <v>5159</v>
      </c>
      <c r="I3433" s="3">
        <v>31</v>
      </c>
      <c r="J3433" s="3" t="s">
        <v>6195</v>
      </c>
      <c r="K3433" s="17" t="str">
        <f>HYPERLINK("http://ictvonline.org/taxonomyHistory.asp?taxnode_id=20173618","ICTVonline=20173618")</f>
        <v>ICTVonline=20173618</v>
      </c>
      <c r="L3433" s="3">
        <v>3432</v>
      </c>
    </row>
    <row r="3434" spans="1:12" x14ac:dyDescent="0.15">
      <c r="A3434" s="1" t="s">
        <v>908</v>
      </c>
      <c r="B3434" s="1" t="s">
        <v>3970</v>
      </c>
      <c r="D3434" s="1" t="s">
        <v>4992</v>
      </c>
      <c r="E3434" s="1" t="s">
        <v>5007</v>
      </c>
      <c r="F3434" s="3">
        <v>0</v>
      </c>
      <c r="G3434" s="8" t="s">
        <v>2774</v>
      </c>
      <c r="H3434" s="8" t="s">
        <v>5159</v>
      </c>
      <c r="I3434" s="3">
        <v>31</v>
      </c>
      <c r="J3434" s="3" t="s">
        <v>6195</v>
      </c>
      <c r="K3434" s="17" t="str">
        <f>HYPERLINK("http://ictvonline.org/taxonomyHistory.asp?taxnode_id=20173619","ICTVonline=20173619")</f>
        <v>ICTVonline=20173619</v>
      </c>
      <c r="L3434" s="3">
        <v>3433</v>
      </c>
    </row>
    <row r="3435" spans="1:12" x14ac:dyDescent="0.15">
      <c r="A3435" s="1" t="s">
        <v>908</v>
      </c>
      <c r="B3435" s="1" t="s">
        <v>3970</v>
      </c>
      <c r="D3435" s="1" t="s">
        <v>4992</v>
      </c>
      <c r="E3435" s="1" t="s">
        <v>5008</v>
      </c>
      <c r="F3435" s="3">
        <v>0</v>
      </c>
      <c r="G3435" s="8" t="s">
        <v>2774</v>
      </c>
      <c r="H3435" s="8" t="s">
        <v>5159</v>
      </c>
      <c r="I3435" s="3">
        <v>31</v>
      </c>
      <c r="J3435" s="3" t="s">
        <v>6195</v>
      </c>
      <c r="K3435" s="17" t="str">
        <f>HYPERLINK("http://ictvonline.org/taxonomyHistory.asp?taxnode_id=20173620","ICTVonline=20173620")</f>
        <v>ICTVonline=20173620</v>
      </c>
      <c r="L3435" s="3">
        <v>3434</v>
      </c>
    </row>
    <row r="3436" spans="1:12" x14ac:dyDescent="0.15">
      <c r="A3436" s="1" t="s">
        <v>908</v>
      </c>
      <c r="B3436" s="1" t="s">
        <v>3970</v>
      </c>
      <c r="D3436" s="1" t="s">
        <v>5009</v>
      </c>
      <c r="E3436" s="1" t="s">
        <v>5010</v>
      </c>
      <c r="F3436" s="3">
        <v>1</v>
      </c>
      <c r="G3436" s="8" t="s">
        <v>2774</v>
      </c>
      <c r="H3436" s="8" t="s">
        <v>5159</v>
      </c>
      <c r="I3436" s="3">
        <v>31</v>
      </c>
      <c r="J3436" s="3" t="s">
        <v>6195</v>
      </c>
      <c r="K3436" s="17" t="str">
        <f>HYPERLINK("http://ictvonline.org/taxonomyHistory.asp?taxnode_id=20173622","ICTVonline=20173622")</f>
        <v>ICTVonline=20173622</v>
      </c>
      <c r="L3436" s="3">
        <v>3435</v>
      </c>
    </row>
    <row r="3437" spans="1:12" x14ac:dyDescent="0.15">
      <c r="A3437" s="1" t="s">
        <v>908</v>
      </c>
      <c r="B3437" s="1" t="s">
        <v>3970</v>
      </c>
      <c r="D3437" s="1" t="s">
        <v>5009</v>
      </c>
      <c r="E3437" s="1" t="s">
        <v>5011</v>
      </c>
      <c r="F3437" s="3">
        <v>0</v>
      </c>
      <c r="G3437" s="8" t="s">
        <v>2774</v>
      </c>
      <c r="H3437" s="8" t="s">
        <v>5159</v>
      </c>
      <c r="I3437" s="3">
        <v>31</v>
      </c>
      <c r="J3437" s="3" t="s">
        <v>6195</v>
      </c>
      <c r="K3437" s="17" t="str">
        <f>HYPERLINK("http://ictvonline.org/taxonomyHistory.asp?taxnode_id=20173623","ICTVonline=20173623")</f>
        <v>ICTVonline=20173623</v>
      </c>
      <c r="L3437" s="3">
        <v>3436</v>
      </c>
    </row>
    <row r="3438" spans="1:12" x14ac:dyDescent="0.15">
      <c r="A3438" s="1" t="s">
        <v>908</v>
      </c>
      <c r="B3438" s="1" t="s">
        <v>3970</v>
      </c>
      <c r="D3438" s="1" t="s">
        <v>5012</v>
      </c>
      <c r="E3438" s="1" t="s">
        <v>5013</v>
      </c>
      <c r="F3438" s="3">
        <v>1</v>
      </c>
      <c r="G3438" s="8" t="s">
        <v>2774</v>
      </c>
      <c r="H3438" s="8" t="s">
        <v>5159</v>
      </c>
      <c r="I3438" s="3">
        <v>31</v>
      </c>
      <c r="J3438" s="3" t="s">
        <v>6195</v>
      </c>
      <c r="K3438" s="17" t="str">
        <f>HYPERLINK("http://ictvonline.org/taxonomyHistory.asp?taxnode_id=20173625","ICTVonline=20173625")</f>
        <v>ICTVonline=20173625</v>
      </c>
      <c r="L3438" s="3">
        <v>3437</v>
      </c>
    </row>
    <row r="3439" spans="1:12" x14ac:dyDescent="0.15">
      <c r="A3439" s="1" t="s">
        <v>908</v>
      </c>
      <c r="B3439" s="1" t="s">
        <v>3970</v>
      </c>
      <c r="D3439" s="1" t="s">
        <v>5012</v>
      </c>
      <c r="E3439" s="1" t="s">
        <v>5014</v>
      </c>
      <c r="F3439" s="3">
        <v>0</v>
      </c>
      <c r="G3439" s="8" t="s">
        <v>2774</v>
      </c>
      <c r="H3439" s="8" t="s">
        <v>5159</v>
      </c>
      <c r="I3439" s="3">
        <v>31</v>
      </c>
      <c r="J3439" s="3" t="s">
        <v>6195</v>
      </c>
      <c r="K3439" s="17" t="str">
        <f>HYPERLINK("http://ictvonline.org/taxonomyHistory.asp?taxnode_id=20173626","ICTVonline=20173626")</f>
        <v>ICTVonline=20173626</v>
      </c>
      <c r="L3439" s="3">
        <v>3438</v>
      </c>
    </row>
    <row r="3440" spans="1:12" x14ac:dyDescent="0.15">
      <c r="A3440" s="1" t="s">
        <v>908</v>
      </c>
      <c r="B3440" s="1" t="s">
        <v>3970</v>
      </c>
      <c r="D3440" s="1" t="s">
        <v>5012</v>
      </c>
      <c r="E3440" s="1" t="s">
        <v>5015</v>
      </c>
      <c r="F3440" s="3">
        <v>0</v>
      </c>
      <c r="G3440" s="8" t="s">
        <v>2774</v>
      </c>
      <c r="H3440" s="8" t="s">
        <v>5159</v>
      </c>
      <c r="I3440" s="3">
        <v>31</v>
      </c>
      <c r="J3440" s="3" t="s">
        <v>6195</v>
      </c>
      <c r="K3440" s="17" t="str">
        <f>HYPERLINK("http://ictvonline.org/taxonomyHistory.asp?taxnode_id=20173627","ICTVonline=20173627")</f>
        <v>ICTVonline=20173627</v>
      </c>
      <c r="L3440" s="3">
        <v>3439</v>
      </c>
    </row>
    <row r="3441" spans="1:12" x14ac:dyDescent="0.15">
      <c r="A3441" s="1" t="s">
        <v>908</v>
      </c>
      <c r="B3441" s="1" t="s">
        <v>3970</v>
      </c>
      <c r="D3441" s="1" t="s">
        <v>5016</v>
      </c>
      <c r="E3441" s="1" t="s">
        <v>5017</v>
      </c>
      <c r="F3441" s="3">
        <v>1</v>
      </c>
      <c r="G3441" s="8" t="s">
        <v>2774</v>
      </c>
      <c r="H3441" s="8" t="s">
        <v>5159</v>
      </c>
      <c r="I3441" s="3">
        <v>31</v>
      </c>
      <c r="J3441" s="3" t="s">
        <v>6195</v>
      </c>
      <c r="K3441" s="17" t="str">
        <f>HYPERLINK("http://ictvonline.org/taxonomyHistory.asp?taxnode_id=20173629","ICTVonline=20173629")</f>
        <v>ICTVonline=20173629</v>
      </c>
      <c r="L3441" s="3">
        <v>3440</v>
      </c>
    </row>
    <row r="3442" spans="1:12" x14ac:dyDescent="0.15">
      <c r="A3442" s="1" t="s">
        <v>908</v>
      </c>
      <c r="B3442" s="1" t="s">
        <v>3970</v>
      </c>
      <c r="D3442" s="1" t="s">
        <v>5018</v>
      </c>
      <c r="E3442" s="1" t="s">
        <v>5019</v>
      </c>
      <c r="F3442" s="3">
        <v>1</v>
      </c>
      <c r="G3442" s="8" t="s">
        <v>2774</v>
      </c>
      <c r="H3442" s="8" t="s">
        <v>5159</v>
      </c>
      <c r="I3442" s="3">
        <v>31</v>
      </c>
      <c r="J3442" s="3" t="s">
        <v>6195</v>
      </c>
      <c r="K3442" s="17" t="str">
        <f>HYPERLINK("http://ictvonline.org/taxonomyHistory.asp?taxnode_id=20173631","ICTVonline=20173631")</f>
        <v>ICTVonline=20173631</v>
      </c>
      <c r="L3442" s="3">
        <v>3441</v>
      </c>
    </row>
    <row r="3443" spans="1:12" x14ac:dyDescent="0.15">
      <c r="A3443" s="1" t="s">
        <v>908</v>
      </c>
      <c r="B3443" s="1" t="s">
        <v>3970</v>
      </c>
      <c r="D3443" s="1" t="s">
        <v>5020</v>
      </c>
      <c r="E3443" s="1" t="s">
        <v>5021</v>
      </c>
      <c r="F3443" s="3">
        <v>1</v>
      </c>
      <c r="G3443" s="8" t="s">
        <v>2774</v>
      </c>
      <c r="H3443" s="8" t="s">
        <v>5159</v>
      </c>
      <c r="I3443" s="3">
        <v>31</v>
      </c>
      <c r="J3443" s="3" t="s">
        <v>6195</v>
      </c>
      <c r="K3443" s="17" t="str">
        <f>HYPERLINK("http://ictvonline.org/taxonomyHistory.asp?taxnode_id=20173633","ICTVonline=20173633")</f>
        <v>ICTVonline=20173633</v>
      </c>
      <c r="L3443" s="3">
        <v>3442</v>
      </c>
    </row>
    <row r="3444" spans="1:12" x14ac:dyDescent="0.15">
      <c r="A3444" s="1" t="s">
        <v>908</v>
      </c>
      <c r="B3444" s="1" t="s">
        <v>382</v>
      </c>
      <c r="D3444" s="1" t="s">
        <v>383</v>
      </c>
      <c r="E3444" s="1" t="s">
        <v>384</v>
      </c>
      <c r="F3444" s="3">
        <v>1</v>
      </c>
      <c r="G3444" s="8" t="s">
        <v>2771</v>
      </c>
      <c r="H3444" s="8" t="s">
        <v>5164</v>
      </c>
      <c r="I3444" s="3">
        <v>24</v>
      </c>
      <c r="J3444" s="3" t="s">
        <v>6197</v>
      </c>
      <c r="K3444" s="17" t="str">
        <f>HYPERLINK("http://ictvonline.org/taxonomyHistory.asp?taxnode_id=20173637","ICTVonline=20173637")</f>
        <v>ICTVonline=20173637</v>
      </c>
      <c r="L3444" s="3">
        <v>3443</v>
      </c>
    </row>
    <row r="3445" spans="1:12" x14ac:dyDescent="0.15">
      <c r="A3445" s="1" t="s">
        <v>908</v>
      </c>
      <c r="B3445" s="1" t="s">
        <v>382</v>
      </c>
      <c r="D3445" s="1" t="s">
        <v>383</v>
      </c>
      <c r="E3445" s="1" t="s">
        <v>675</v>
      </c>
      <c r="F3445" s="3">
        <v>0</v>
      </c>
      <c r="G3445" s="8" t="s">
        <v>2771</v>
      </c>
      <c r="H3445" s="8" t="s">
        <v>5159</v>
      </c>
      <c r="I3445" s="3">
        <v>24</v>
      </c>
      <c r="J3445" s="3" t="s">
        <v>6198</v>
      </c>
      <c r="K3445" s="17" t="str">
        <f>HYPERLINK("http://ictvonline.org/taxonomyHistory.asp?taxnode_id=20173638","ICTVonline=20173638")</f>
        <v>ICTVonline=20173638</v>
      </c>
      <c r="L3445" s="3">
        <v>3444</v>
      </c>
    </row>
    <row r="3446" spans="1:12" x14ac:dyDescent="0.15">
      <c r="A3446" s="1" t="s">
        <v>908</v>
      </c>
      <c r="B3446" s="1" t="s">
        <v>1476</v>
      </c>
      <c r="D3446" s="1" t="s">
        <v>2284</v>
      </c>
      <c r="E3446" s="1" t="s">
        <v>247</v>
      </c>
      <c r="F3446" s="3">
        <v>1</v>
      </c>
      <c r="G3446" s="8" t="s">
        <v>2771</v>
      </c>
      <c r="H3446" s="8" t="s">
        <v>5161</v>
      </c>
      <c r="I3446" s="3">
        <v>27</v>
      </c>
      <c r="J3446" s="3" t="s">
        <v>6199</v>
      </c>
      <c r="K3446" s="17" t="str">
        <f>HYPERLINK("http://ictvonline.org/taxonomyHistory.asp?taxnode_id=20173642","ICTVonline=20173642")</f>
        <v>ICTVonline=20173642</v>
      </c>
      <c r="L3446" s="3">
        <v>3445</v>
      </c>
    </row>
    <row r="3447" spans="1:12" x14ac:dyDescent="0.15">
      <c r="A3447" s="1" t="s">
        <v>908</v>
      </c>
      <c r="B3447" s="1" t="s">
        <v>1476</v>
      </c>
      <c r="D3447" s="1" t="s">
        <v>2285</v>
      </c>
      <c r="E3447" s="1" t="s">
        <v>2286</v>
      </c>
      <c r="F3447" s="3">
        <v>1</v>
      </c>
      <c r="G3447" s="8" t="s">
        <v>2771</v>
      </c>
      <c r="H3447" s="8" t="s">
        <v>5164</v>
      </c>
      <c r="I3447" s="3">
        <v>27</v>
      </c>
      <c r="J3447" s="3" t="s">
        <v>6199</v>
      </c>
      <c r="K3447" s="17" t="str">
        <f>HYPERLINK("http://ictvonline.org/taxonomyHistory.asp?taxnode_id=20173644","ICTVonline=20173644")</f>
        <v>ICTVonline=20173644</v>
      </c>
      <c r="L3447" s="3">
        <v>3446</v>
      </c>
    </row>
    <row r="3448" spans="1:12" x14ac:dyDescent="0.15">
      <c r="A3448" s="1" t="s">
        <v>908</v>
      </c>
      <c r="B3448" s="1" t="s">
        <v>248</v>
      </c>
      <c r="D3448" s="1" t="s">
        <v>1250</v>
      </c>
      <c r="E3448" s="1" t="s">
        <v>1251</v>
      </c>
      <c r="F3448" s="3">
        <v>1</v>
      </c>
      <c r="G3448" s="8" t="s">
        <v>3888</v>
      </c>
      <c r="H3448" s="8" t="s">
        <v>5164</v>
      </c>
      <c r="I3448" s="3">
        <v>12</v>
      </c>
      <c r="J3448" s="3" t="s">
        <v>6080</v>
      </c>
      <c r="K3448" s="17" t="str">
        <f>HYPERLINK("http://ictvonline.org/taxonomyHistory.asp?taxnode_id=20173648","ICTVonline=20173648")</f>
        <v>ICTVonline=20173648</v>
      </c>
      <c r="L3448" s="3">
        <v>3447</v>
      </c>
    </row>
    <row r="3449" spans="1:12" x14ac:dyDescent="0.15">
      <c r="A3449" s="1" t="s">
        <v>908</v>
      </c>
      <c r="B3449" s="1" t="s">
        <v>248</v>
      </c>
      <c r="D3449" s="1" t="s">
        <v>1250</v>
      </c>
      <c r="E3449" s="1" t="s">
        <v>1252</v>
      </c>
      <c r="F3449" s="3">
        <v>0</v>
      </c>
      <c r="G3449" s="8" t="s">
        <v>3888</v>
      </c>
      <c r="H3449" s="8" t="s">
        <v>5159</v>
      </c>
      <c r="I3449" s="3">
        <v>12</v>
      </c>
      <c r="J3449" s="3" t="s">
        <v>6080</v>
      </c>
      <c r="K3449" s="17" t="str">
        <f>HYPERLINK("http://ictvonline.org/taxonomyHistory.asp?taxnode_id=20173649","ICTVonline=20173649")</f>
        <v>ICTVonline=20173649</v>
      </c>
      <c r="L3449" s="3">
        <v>3448</v>
      </c>
    </row>
    <row r="3450" spans="1:12" x14ac:dyDescent="0.15">
      <c r="A3450" s="1" t="s">
        <v>908</v>
      </c>
      <c r="B3450" s="1" t="s">
        <v>248</v>
      </c>
      <c r="D3450" s="1" t="s">
        <v>1250</v>
      </c>
      <c r="E3450" s="1" t="s">
        <v>5022</v>
      </c>
      <c r="F3450" s="3">
        <v>0</v>
      </c>
      <c r="G3450" s="8" t="s">
        <v>3888</v>
      </c>
      <c r="H3450" s="8" t="s">
        <v>5159</v>
      </c>
      <c r="I3450" s="3">
        <v>31</v>
      </c>
      <c r="J3450" s="3" t="s">
        <v>6200</v>
      </c>
      <c r="K3450" s="17" t="str">
        <f>HYPERLINK("http://ictvonline.org/taxonomyHistory.asp?taxnode_id=20173650","ICTVonline=20173650")</f>
        <v>ICTVonline=20173650</v>
      </c>
      <c r="L3450" s="3">
        <v>3449</v>
      </c>
    </row>
    <row r="3451" spans="1:12" x14ac:dyDescent="0.15">
      <c r="A3451" s="1" t="s">
        <v>908</v>
      </c>
      <c r="B3451" s="1" t="s">
        <v>248</v>
      </c>
      <c r="D3451" s="1" t="s">
        <v>1253</v>
      </c>
      <c r="E3451" s="1" t="s">
        <v>1254</v>
      </c>
      <c r="F3451" s="3">
        <v>0</v>
      </c>
      <c r="G3451" s="8" t="s">
        <v>3888</v>
      </c>
      <c r="H3451" s="8" t="s">
        <v>5162</v>
      </c>
      <c r="I3451" s="3">
        <v>23</v>
      </c>
      <c r="J3451" s="3" t="s">
        <v>6020</v>
      </c>
      <c r="K3451" s="17" t="str">
        <f>HYPERLINK("http://ictvonline.org/taxonomyHistory.asp?taxnode_id=20173652","ICTVonline=20173652")</f>
        <v>ICTVonline=20173652</v>
      </c>
      <c r="L3451" s="3">
        <v>3450</v>
      </c>
    </row>
    <row r="3452" spans="1:12" x14ac:dyDescent="0.15">
      <c r="A3452" s="1" t="s">
        <v>908</v>
      </c>
      <c r="B3452" s="1" t="s">
        <v>248</v>
      </c>
      <c r="D3452" s="1" t="s">
        <v>1253</v>
      </c>
      <c r="E3452" s="1" t="s">
        <v>1255</v>
      </c>
      <c r="F3452" s="3">
        <v>1</v>
      </c>
      <c r="G3452" s="8" t="s">
        <v>3888</v>
      </c>
      <c r="H3452" s="8" t="s">
        <v>5164</v>
      </c>
      <c r="I3452" s="3">
        <v>12</v>
      </c>
      <c r="J3452" s="3" t="s">
        <v>6080</v>
      </c>
      <c r="K3452" s="17" t="str">
        <f>HYPERLINK("http://ictvonline.org/taxonomyHistory.asp?taxnode_id=20173653","ICTVonline=20173653")</f>
        <v>ICTVonline=20173653</v>
      </c>
      <c r="L3452" s="3">
        <v>3451</v>
      </c>
    </row>
    <row r="3453" spans="1:12" x14ac:dyDescent="0.15">
      <c r="A3453" s="1" t="s">
        <v>908</v>
      </c>
      <c r="B3453" s="1" t="s">
        <v>248</v>
      </c>
      <c r="D3453" s="1" t="s">
        <v>1253</v>
      </c>
      <c r="E3453" s="1" t="s">
        <v>3973</v>
      </c>
      <c r="F3453" s="3">
        <v>0</v>
      </c>
      <c r="G3453" s="8" t="s">
        <v>3888</v>
      </c>
      <c r="H3453" s="8" t="s">
        <v>5162</v>
      </c>
      <c r="I3453" s="3">
        <v>30</v>
      </c>
      <c r="J3453" s="3" t="s">
        <v>6201</v>
      </c>
      <c r="K3453" s="17" t="str">
        <f>HYPERLINK("http://ictvonline.org/taxonomyHistory.asp?taxnode_id=20173654","ICTVonline=20173654")</f>
        <v>ICTVonline=20173654</v>
      </c>
      <c r="L3453" s="3">
        <v>3452</v>
      </c>
    </row>
    <row r="3454" spans="1:12" x14ac:dyDescent="0.15">
      <c r="A3454" s="1" t="s">
        <v>908</v>
      </c>
      <c r="B3454" s="1" t="s">
        <v>248</v>
      </c>
      <c r="D3454" s="1" t="s">
        <v>1253</v>
      </c>
      <c r="E3454" s="1" t="s">
        <v>5023</v>
      </c>
      <c r="F3454" s="3">
        <v>0</v>
      </c>
      <c r="G3454" s="8" t="s">
        <v>3888</v>
      </c>
      <c r="H3454" s="8" t="s">
        <v>5159</v>
      </c>
      <c r="I3454" s="3">
        <v>31</v>
      </c>
      <c r="J3454" s="3" t="s">
        <v>6202</v>
      </c>
      <c r="K3454" s="17" t="str">
        <f>HYPERLINK("http://ictvonline.org/taxonomyHistory.asp?taxnode_id=20173655","ICTVonline=20173655")</f>
        <v>ICTVonline=20173655</v>
      </c>
      <c r="L3454" s="3">
        <v>3453</v>
      </c>
    </row>
    <row r="3455" spans="1:12" x14ac:dyDescent="0.15">
      <c r="A3455" s="1" t="s">
        <v>908</v>
      </c>
      <c r="B3455" s="1" t="s">
        <v>248</v>
      </c>
      <c r="D3455" s="1" t="s">
        <v>1253</v>
      </c>
      <c r="E3455" s="1" t="s">
        <v>3974</v>
      </c>
      <c r="F3455" s="3">
        <v>0</v>
      </c>
      <c r="G3455" s="8" t="s">
        <v>3888</v>
      </c>
      <c r="H3455" s="8" t="s">
        <v>5159</v>
      </c>
      <c r="I3455" s="3">
        <v>30</v>
      </c>
      <c r="J3455" s="3" t="s">
        <v>6201</v>
      </c>
      <c r="K3455" s="17" t="str">
        <f>HYPERLINK("http://ictvonline.org/taxonomyHistory.asp?taxnode_id=20173656","ICTVonline=20173656")</f>
        <v>ICTVonline=20173656</v>
      </c>
      <c r="L3455" s="3">
        <v>3454</v>
      </c>
    </row>
    <row r="3456" spans="1:12" x14ac:dyDescent="0.15">
      <c r="A3456" s="1" t="s">
        <v>908</v>
      </c>
      <c r="B3456" s="1" t="s">
        <v>248</v>
      </c>
      <c r="D3456" s="1" t="s">
        <v>1253</v>
      </c>
      <c r="E3456" s="1" t="s">
        <v>3975</v>
      </c>
      <c r="F3456" s="3">
        <v>0</v>
      </c>
      <c r="G3456" s="8" t="s">
        <v>3888</v>
      </c>
      <c r="H3456" s="8" t="s">
        <v>5159</v>
      </c>
      <c r="I3456" s="3">
        <v>30</v>
      </c>
      <c r="J3456" s="3" t="s">
        <v>6201</v>
      </c>
      <c r="K3456" s="17" t="str">
        <f>HYPERLINK("http://ictvonline.org/taxonomyHistory.asp?taxnode_id=20173657","ICTVonline=20173657")</f>
        <v>ICTVonline=20173657</v>
      </c>
      <c r="L3456" s="3">
        <v>3455</v>
      </c>
    </row>
    <row r="3457" spans="1:12" x14ac:dyDescent="0.15">
      <c r="A3457" s="1" t="s">
        <v>908</v>
      </c>
      <c r="B3457" s="1" t="s">
        <v>248</v>
      </c>
      <c r="D3457" s="1" t="s">
        <v>1253</v>
      </c>
      <c r="E3457" s="1" t="s">
        <v>1256</v>
      </c>
      <c r="F3457" s="3">
        <v>0</v>
      </c>
      <c r="G3457" s="8" t="s">
        <v>3888</v>
      </c>
      <c r="H3457" s="8" t="s">
        <v>5162</v>
      </c>
      <c r="I3457" s="3">
        <v>23</v>
      </c>
      <c r="J3457" s="3" t="s">
        <v>6020</v>
      </c>
      <c r="K3457" s="17" t="str">
        <f>HYPERLINK("http://ictvonline.org/taxonomyHistory.asp?taxnode_id=20173658","ICTVonline=20173658")</f>
        <v>ICTVonline=20173658</v>
      </c>
      <c r="L3457" s="3">
        <v>3456</v>
      </c>
    </row>
    <row r="3458" spans="1:12" x14ac:dyDescent="0.15">
      <c r="A3458" s="1" t="s">
        <v>908</v>
      </c>
      <c r="B3458" s="1" t="s">
        <v>248</v>
      </c>
      <c r="D3458" s="1" t="s">
        <v>1253</v>
      </c>
      <c r="E3458" s="1" t="s">
        <v>255</v>
      </c>
      <c r="F3458" s="3">
        <v>0</v>
      </c>
      <c r="G3458" s="8" t="s">
        <v>3888</v>
      </c>
      <c r="H3458" s="8" t="s">
        <v>5159</v>
      </c>
      <c r="I3458" s="3">
        <v>23</v>
      </c>
      <c r="J3458" s="3" t="s">
        <v>6020</v>
      </c>
      <c r="K3458" s="17" t="str">
        <f>HYPERLINK("http://ictvonline.org/taxonomyHistory.asp?taxnode_id=20173659","ICTVonline=20173659")</f>
        <v>ICTVonline=20173659</v>
      </c>
      <c r="L3458" s="3">
        <v>3457</v>
      </c>
    </row>
    <row r="3459" spans="1:12" x14ac:dyDescent="0.15">
      <c r="A3459" s="1" t="s">
        <v>908</v>
      </c>
      <c r="B3459" s="1" t="s">
        <v>248</v>
      </c>
      <c r="D3459" s="1" t="s">
        <v>908</v>
      </c>
      <c r="E3459" s="1" t="s">
        <v>6203</v>
      </c>
      <c r="F3459" s="3">
        <v>0</v>
      </c>
      <c r="G3459" s="8" t="s">
        <v>3888</v>
      </c>
      <c r="H3459" s="8" t="s">
        <v>5159</v>
      </c>
      <c r="I3459" s="3">
        <v>32</v>
      </c>
      <c r="J3459" s="3" t="s">
        <v>6204</v>
      </c>
      <c r="K3459" s="17" t="str">
        <f>HYPERLINK("http://ictvonline.org/taxonomyHistory.asp?taxnode_id=20175859","ICTVonline=20175859")</f>
        <v>ICTVonline=20175859</v>
      </c>
      <c r="L3459" s="3">
        <v>3458</v>
      </c>
    </row>
    <row r="3460" spans="1:12" x14ac:dyDescent="0.15">
      <c r="A3460" s="1" t="s">
        <v>908</v>
      </c>
      <c r="B3460" s="1" t="s">
        <v>248</v>
      </c>
      <c r="D3460" s="1" t="s">
        <v>908</v>
      </c>
      <c r="E3460" s="1" t="s">
        <v>6205</v>
      </c>
      <c r="F3460" s="3">
        <v>0</v>
      </c>
      <c r="G3460" s="8" t="s">
        <v>3888</v>
      </c>
      <c r="H3460" s="8" t="s">
        <v>5159</v>
      </c>
      <c r="I3460" s="3">
        <v>32</v>
      </c>
      <c r="J3460" s="3" t="s">
        <v>6204</v>
      </c>
      <c r="K3460" s="17" t="str">
        <f>HYPERLINK("http://ictvonline.org/taxonomyHistory.asp?taxnode_id=20175860","ICTVonline=20175860")</f>
        <v>ICTVonline=20175860</v>
      </c>
      <c r="L3460" s="3">
        <v>3459</v>
      </c>
    </row>
    <row r="3461" spans="1:12" x14ac:dyDescent="0.15">
      <c r="A3461" s="1" t="s">
        <v>908</v>
      </c>
      <c r="B3461" s="1" t="s">
        <v>248</v>
      </c>
      <c r="D3461" s="1" t="s">
        <v>908</v>
      </c>
      <c r="E3461" s="1" t="s">
        <v>5024</v>
      </c>
      <c r="F3461" s="3">
        <v>0</v>
      </c>
      <c r="G3461" s="8" t="s">
        <v>3888</v>
      </c>
      <c r="H3461" s="8" t="s">
        <v>5159</v>
      </c>
      <c r="I3461" s="3">
        <v>31</v>
      </c>
      <c r="J3461" s="3" t="s">
        <v>6206</v>
      </c>
      <c r="K3461" s="17" t="str">
        <f>HYPERLINK("http://ictvonline.org/taxonomyHistory.asp?taxnode_id=20173661","ICTVonline=20173661")</f>
        <v>ICTVonline=20173661</v>
      </c>
      <c r="L3461" s="3">
        <v>3460</v>
      </c>
    </row>
    <row r="3462" spans="1:12" x14ac:dyDescent="0.15">
      <c r="A3462" s="1" t="s">
        <v>908</v>
      </c>
      <c r="B3462" s="1" t="s">
        <v>1088</v>
      </c>
      <c r="D3462" s="1" t="s">
        <v>2706</v>
      </c>
      <c r="E3462" s="1" t="s">
        <v>2707</v>
      </c>
      <c r="F3462" s="3">
        <v>1</v>
      </c>
      <c r="G3462" s="8" t="s">
        <v>2773</v>
      </c>
      <c r="H3462" s="8" t="s">
        <v>5160</v>
      </c>
      <c r="I3462" s="3">
        <v>29</v>
      </c>
      <c r="J3462" s="3" t="s">
        <v>6207</v>
      </c>
      <c r="K3462" s="17" t="str">
        <f>HYPERLINK("http://ictvonline.org/taxonomyHistory.asp?taxnode_id=20173665","ICTVonline=20173665")</f>
        <v>ICTVonline=20173665</v>
      </c>
      <c r="L3462" s="3">
        <v>3461</v>
      </c>
    </row>
    <row r="3463" spans="1:12" x14ac:dyDescent="0.15">
      <c r="A3463" s="1" t="s">
        <v>908</v>
      </c>
      <c r="B3463" s="1" t="s">
        <v>1088</v>
      </c>
      <c r="D3463" s="1" t="s">
        <v>2706</v>
      </c>
      <c r="E3463" s="1" t="s">
        <v>2708</v>
      </c>
      <c r="F3463" s="3">
        <v>0</v>
      </c>
      <c r="G3463" s="8" t="s">
        <v>2773</v>
      </c>
      <c r="H3463" s="8" t="s">
        <v>5160</v>
      </c>
      <c r="I3463" s="3">
        <v>29</v>
      </c>
      <c r="J3463" s="3" t="s">
        <v>6207</v>
      </c>
      <c r="K3463" s="17" t="str">
        <f>HYPERLINK("http://ictvonline.org/taxonomyHistory.asp?taxnode_id=20173666","ICTVonline=20173666")</f>
        <v>ICTVonline=20173666</v>
      </c>
      <c r="L3463" s="3">
        <v>3462</v>
      </c>
    </row>
    <row r="3464" spans="1:12" x14ac:dyDescent="0.15">
      <c r="A3464" s="1" t="s">
        <v>908</v>
      </c>
      <c r="B3464" s="1" t="s">
        <v>1088</v>
      </c>
      <c r="D3464" s="1" t="s">
        <v>2706</v>
      </c>
      <c r="E3464" s="1" t="s">
        <v>2709</v>
      </c>
      <c r="F3464" s="3">
        <v>0</v>
      </c>
      <c r="G3464" s="8" t="s">
        <v>2773</v>
      </c>
      <c r="H3464" s="8" t="s">
        <v>5159</v>
      </c>
      <c r="I3464" s="3">
        <v>29</v>
      </c>
      <c r="J3464" s="3" t="s">
        <v>6207</v>
      </c>
      <c r="K3464" s="17" t="str">
        <f>HYPERLINK("http://ictvonline.org/taxonomyHistory.asp?taxnode_id=20173667","ICTVonline=20173667")</f>
        <v>ICTVonline=20173667</v>
      </c>
      <c r="L3464" s="3">
        <v>3463</v>
      </c>
    </row>
    <row r="3465" spans="1:12" x14ac:dyDescent="0.15">
      <c r="A3465" s="1" t="s">
        <v>908</v>
      </c>
      <c r="B3465" s="1" t="s">
        <v>1088</v>
      </c>
      <c r="D3465" s="1" t="s">
        <v>2706</v>
      </c>
      <c r="E3465" s="1" t="s">
        <v>2710</v>
      </c>
      <c r="F3465" s="3">
        <v>0</v>
      </c>
      <c r="G3465" s="8" t="s">
        <v>2773</v>
      </c>
      <c r="H3465" s="8" t="s">
        <v>5159</v>
      </c>
      <c r="I3465" s="3">
        <v>29</v>
      </c>
      <c r="J3465" s="3" t="s">
        <v>6207</v>
      </c>
      <c r="K3465" s="17" t="str">
        <f>HYPERLINK("http://ictvonline.org/taxonomyHistory.asp?taxnode_id=20173668","ICTVonline=20173668")</f>
        <v>ICTVonline=20173668</v>
      </c>
      <c r="L3465" s="3">
        <v>3464</v>
      </c>
    </row>
    <row r="3466" spans="1:12" x14ac:dyDescent="0.15">
      <c r="A3466" s="1" t="s">
        <v>908</v>
      </c>
      <c r="B3466" s="1" t="s">
        <v>1088</v>
      </c>
      <c r="D3466" s="1" t="s">
        <v>2711</v>
      </c>
      <c r="E3466" s="1" t="s">
        <v>2712</v>
      </c>
      <c r="F3466" s="3">
        <v>1</v>
      </c>
      <c r="G3466" s="8" t="s">
        <v>2773</v>
      </c>
      <c r="H3466" s="8" t="s">
        <v>5159</v>
      </c>
      <c r="I3466" s="3">
        <v>29</v>
      </c>
      <c r="J3466" s="3" t="s">
        <v>6207</v>
      </c>
      <c r="K3466" s="17" t="str">
        <f>HYPERLINK("http://ictvonline.org/taxonomyHistory.asp?taxnode_id=20173670","ICTVonline=20173670")</f>
        <v>ICTVonline=20173670</v>
      </c>
      <c r="L3466" s="3">
        <v>3465</v>
      </c>
    </row>
    <row r="3467" spans="1:12" x14ac:dyDescent="0.15">
      <c r="A3467" s="1" t="s">
        <v>908</v>
      </c>
      <c r="B3467" s="1" t="s">
        <v>256</v>
      </c>
      <c r="D3467" s="1" t="s">
        <v>257</v>
      </c>
      <c r="E3467" s="1" t="s">
        <v>258</v>
      </c>
      <c r="F3467" s="3">
        <v>1</v>
      </c>
      <c r="G3467" s="8" t="s">
        <v>2773</v>
      </c>
      <c r="H3467" s="8" t="s">
        <v>5168</v>
      </c>
      <c r="I3467" s="3">
        <v>18</v>
      </c>
      <c r="J3467" s="3" t="s">
        <v>5597</v>
      </c>
      <c r="K3467" s="17" t="str">
        <f>HYPERLINK("http://ictvonline.org/taxonomyHistory.asp?taxnode_id=20173674","ICTVonline=20173674")</f>
        <v>ICTVonline=20173674</v>
      </c>
      <c r="L3467" s="3">
        <v>3466</v>
      </c>
    </row>
    <row r="3468" spans="1:12" x14ac:dyDescent="0.15">
      <c r="A3468" s="1" t="s">
        <v>908</v>
      </c>
      <c r="B3468" s="1" t="s">
        <v>256</v>
      </c>
      <c r="D3468" s="1" t="s">
        <v>257</v>
      </c>
      <c r="E3468" s="1" t="s">
        <v>259</v>
      </c>
      <c r="F3468" s="3">
        <v>0</v>
      </c>
      <c r="G3468" s="8" t="s">
        <v>2773</v>
      </c>
      <c r="H3468" s="8" t="s">
        <v>5162</v>
      </c>
      <c r="I3468" s="3">
        <v>18</v>
      </c>
      <c r="J3468" s="3" t="s">
        <v>5597</v>
      </c>
      <c r="K3468" s="17" t="str">
        <f>HYPERLINK("http://ictvonline.org/taxonomyHistory.asp?taxnode_id=20173675","ICTVonline=20173675")</f>
        <v>ICTVonline=20173675</v>
      </c>
      <c r="L3468" s="3">
        <v>3467</v>
      </c>
    </row>
    <row r="3469" spans="1:12" x14ac:dyDescent="0.15">
      <c r="A3469" s="1" t="s">
        <v>908</v>
      </c>
      <c r="B3469" s="1" t="s">
        <v>256</v>
      </c>
      <c r="D3469" s="1" t="s">
        <v>257</v>
      </c>
      <c r="E3469" s="1" t="s">
        <v>260</v>
      </c>
      <c r="F3469" s="3">
        <v>0</v>
      </c>
      <c r="G3469" s="8" t="s">
        <v>2773</v>
      </c>
      <c r="H3469" s="8" t="s">
        <v>5159</v>
      </c>
      <c r="I3469" s="3">
        <v>20</v>
      </c>
      <c r="J3469" s="3" t="s">
        <v>5628</v>
      </c>
      <c r="K3469" s="17" t="str">
        <f>HYPERLINK("http://ictvonline.org/taxonomyHistory.asp?taxnode_id=20173676","ICTVonline=20173676")</f>
        <v>ICTVonline=20173676</v>
      </c>
      <c r="L3469" s="3">
        <v>3468</v>
      </c>
    </row>
    <row r="3470" spans="1:12" x14ac:dyDescent="0.15">
      <c r="A3470" s="1" t="s">
        <v>908</v>
      </c>
      <c r="B3470" s="1" t="s">
        <v>256</v>
      </c>
      <c r="D3470" s="1" t="s">
        <v>257</v>
      </c>
      <c r="E3470" s="1" t="s">
        <v>1694</v>
      </c>
      <c r="F3470" s="3">
        <v>0</v>
      </c>
      <c r="G3470" s="8" t="s">
        <v>2773</v>
      </c>
      <c r="H3470" s="8" t="s">
        <v>5159</v>
      </c>
      <c r="I3470" s="3">
        <v>20</v>
      </c>
      <c r="J3470" s="3" t="s">
        <v>5628</v>
      </c>
      <c r="K3470" s="17" t="str">
        <f>HYPERLINK("http://ictvonline.org/taxonomyHistory.asp?taxnode_id=20173677","ICTVonline=20173677")</f>
        <v>ICTVonline=20173677</v>
      </c>
      <c r="L3470" s="3">
        <v>3469</v>
      </c>
    </row>
    <row r="3471" spans="1:12" x14ac:dyDescent="0.15">
      <c r="A3471" s="1" t="s">
        <v>908</v>
      </c>
      <c r="B3471" s="1" t="s">
        <v>97</v>
      </c>
      <c r="D3471" s="1" t="s">
        <v>98</v>
      </c>
      <c r="E3471" s="1" t="s">
        <v>99</v>
      </c>
      <c r="F3471" s="3">
        <v>1</v>
      </c>
      <c r="G3471" s="8" t="s">
        <v>2771</v>
      </c>
      <c r="H3471" s="8" t="s">
        <v>5164</v>
      </c>
      <c r="I3471" s="3">
        <v>26</v>
      </c>
      <c r="J3471" s="3" t="s">
        <v>6208</v>
      </c>
      <c r="K3471" s="17" t="str">
        <f>HYPERLINK("http://ictvonline.org/taxonomyHistory.asp?taxnode_id=20173681","ICTVonline=20173681")</f>
        <v>ICTVonline=20173681</v>
      </c>
      <c r="L3471" s="3">
        <v>3470</v>
      </c>
    </row>
    <row r="3472" spans="1:12" x14ac:dyDescent="0.15">
      <c r="A3472" s="1" t="s">
        <v>908</v>
      </c>
      <c r="B3472" s="1" t="s">
        <v>97</v>
      </c>
      <c r="D3472" s="1" t="s">
        <v>100</v>
      </c>
      <c r="E3472" s="1" t="s">
        <v>101</v>
      </c>
      <c r="F3472" s="3">
        <v>1</v>
      </c>
      <c r="G3472" s="8" t="s">
        <v>2771</v>
      </c>
      <c r="H3472" s="8" t="s">
        <v>5164</v>
      </c>
      <c r="I3472" s="3">
        <v>26</v>
      </c>
      <c r="J3472" s="3" t="s">
        <v>6208</v>
      </c>
      <c r="K3472" s="17" t="str">
        <f>HYPERLINK("http://ictvonline.org/taxonomyHistory.asp?taxnode_id=20173683","ICTVonline=20173683")</f>
        <v>ICTVonline=20173683</v>
      </c>
      <c r="L3472" s="3">
        <v>3471</v>
      </c>
    </row>
    <row r="3473" spans="1:12" x14ac:dyDescent="0.15">
      <c r="A3473" s="1" t="s">
        <v>908</v>
      </c>
      <c r="B3473" s="1" t="s">
        <v>1695</v>
      </c>
      <c r="D3473" s="1" t="s">
        <v>4301</v>
      </c>
      <c r="E3473" s="1" t="s">
        <v>3984</v>
      </c>
      <c r="F3473" s="3">
        <v>1</v>
      </c>
      <c r="G3473" s="8" t="s">
        <v>3976</v>
      </c>
      <c r="H3473" s="8" t="s">
        <v>5161</v>
      </c>
      <c r="I3473" s="3">
        <v>31</v>
      </c>
      <c r="J3473" s="3" t="s">
        <v>6209</v>
      </c>
      <c r="K3473" s="17" t="str">
        <f>HYPERLINK("http://ictvonline.org/taxonomyHistory.asp?taxnode_id=20173687","ICTVonline=20173687")</f>
        <v>ICTVonline=20173687</v>
      </c>
      <c r="L3473" s="3">
        <v>3472</v>
      </c>
    </row>
    <row r="3474" spans="1:12" x14ac:dyDescent="0.15">
      <c r="A3474" s="1" t="s">
        <v>908</v>
      </c>
      <c r="B3474" s="1" t="s">
        <v>1695</v>
      </c>
      <c r="D3474" s="1" t="s">
        <v>4301</v>
      </c>
      <c r="E3474" s="1" t="s">
        <v>5025</v>
      </c>
      <c r="F3474" s="3">
        <v>0</v>
      </c>
      <c r="G3474" s="8" t="s">
        <v>3976</v>
      </c>
      <c r="H3474" s="8" t="s">
        <v>5159</v>
      </c>
      <c r="I3474" s="3">
        <v>31</v>
      </c>
      <c r="J3474" s="3" t="s">
        <v>6209</v>
      </c>
      <c r="K3474" s="17" t="str">
        <f>HYPERLINK("http://ictvonline.org/taxonomyHistory.asp?taxnode_id=20173688","ICTVonline=20173688")</f>
        <v>ICTVonline=20173688</v>
      </c>
      <c r="L3474" s="3">
        <v>3473</v>
      </c>
    </row>
    <row r="3475" spans="1:12" x14ac:dyDescent="0.15">
      <c r="A3475" s="1" t="s">
        <v>908</v>
      </c>
      <c r="B3475" s="1" t="s">
        <v>1695</v>
      </c>
      <c r="D3475" s="1" t="s">
        <v>5026</v>
      </c>
      <c r="E3475" s="1" t="s">
        <v>5027</v>
      </c>
      <c r="F3475" s="3">
        <v>0</v>
      </c>
      <c r="G3475" s="8" t="s">
        <v>3976</v>
      </c>
      <c r="H3475" s="8" t="s">
        <v>5159</v>
      </c>
      <c r="I3475" s="3">
        <v>31</v>
      </c>
      <c r="J3475" s="3" t="s">
        <v>6209</v>
      </c>
      <c r="K3475" s="17" t="str">
        <f>HYPERLINK("http://ictvonline.org/taxonomyHistory.asp?taxnode_id=20173690","ICTVonline=20173690")</f>
        <v>ICTVonline=20173690</v>
      </c>
      <c r="L3475" s="3">
        <v>3474</v>
      </c>
    </row>
    <row r="3476" spans="1:12" x14ac:dyDescent="0.15">
      <c r="A3476" s="1" t="s">
        <v>908</v>
      </c>
      <c r="B3476" s="1" t="s">
        <v>1695</v>
      </c>
      <c r="D3476" s="1" t="s">
        <v>5026</v>
      </c>
      <c r="E3476" s="1" t="s">
        <v>5028</v>
      </c>
      <c r="F3476" s="3">
        <v>1</v>
      </c>
      <c r="G3476" s="8" t="s">
        <v>3976</v>
      </c>
      <c r="H3476" s="8" t="s">
        <v>5159</v>
      </c>
      <c r="I3476" s="3">
        <v>31</v>
      </c>
      <c r="J3476" s="3" t="s">
        <v>6209</v>
      </c>
      <c r="K3476" s="17" t="str">
        <f>HYPERLINK("http://ictvonline.org/taxonomyHistory.asp?taxnode_id=20173691","ICTVonline=20173691")</f>
        <v>ICTVonline=20173691</v>
      </c>
      <c r="L3476" s="3">
        <v>3475</v>
      </c>
    </row>
    <row r="3477" spans="1:12" x14ac:dyDescent="0.15">
      <c r="A3477" s="1" t="s">
        <v>908</v>
      </c>
      <c r="B3477" s="1" t="s">
        <v>1695</v>
      </c>
      <c r="D3477" s="1" t="s">
        <v>5026</v>
      </c>
      <c r="E3477" s="1" t="s">
        <v>5029</v>
      </c>
      <c r="F3477" s="3">
        <v>0</v>
      </c>
      <c r="G3477" s="8" t="s">
        <v>3976</v>
      </c>
      <c r="H3477" s="8" t="s">
        <v>5159</v>
      </c>
      <c r="I3477" s="3">
        <v>31</v>
      </c>
      <c r="J3477" s="3" t="s">
        <v>6209</v>
      </c>
      <c r="K3477" s="17" t="str">
        <f>HYPERLINK("http://ictvonline.org/taxonomyHistory.asp?taxnode_id=20173692","ICTVonline=20173692")</f>
        <v>ICTVonline=20173692</v>
      </c>
      <c r="L3477" s="3">
        <v>3476</v>
      </c>
    </row>
    <row r="3478" spans="1:12" x14ac:dyDescent="0.15">
      <c r="A3478" s="1" t="s">
        <v>908</v>
      </c>
      <c r="B3478" s="1" t="s">
        <v>1695</v>
      </c>
      <c r="D3478" s="1" t="s">
        <v>1696</v>
      </c>
      <c r="E3478" s="1" t="s">
        <v>3979</v>
      </c>
      <c r="F3478" s="3">
        <v>1</v>
      </c>
      <c r="G3478" s="8" t="s">
        <v>3976</v>
      </c>
      <c r="H3478" s="8" t="s">
        <v>5162</v>
      </c>
      <c r="I3478" s="3">
        <v>30</v>
      </c>
      <c r="J3478" s="3" t="s">
        <v>5297</v>
      </c>
      <c r="K3478" s="17" t="str">
        <f>HYPERLINK("http://ictvonline.org/taxonomyHistory.asp?taxnode_id=20173694","ICTVonline=20173694")</f>
        <v>ICTVonline=20173694</v>
      </c>
      <c r="L3478" s="3">
        <v>3477</v>
      </c>
    </row>
    <row r="3479" spans="1:12" x14ac:dyDescent="0.15">
      <c r="A3479" s="1" t="s">
        <v>908</v>
      </c>
      <c r="B3479" s="1" t="s">
        <v>1695</v>
      </c>
      <c r="D3479" s="1" t="s">
        <v>4302</v>
      </c>
      <c r="E3479" s="1" t="s">
        <v>3977</v>
      </c>
      <c r="F3479" s="3">
        <v>0</v>
      </c>
      <c r="G3479" s="8" t="s">
        <v>3976</v>
      </c>
      <c r="H3479" s="8" t="s">
        <v>5161</v>
      </c>
      <c r="I3479" s="3">
        <v>31</v>
      </c>
      <c r="J3479" s="3" t="s">
        <v>6209</v>
      </c>
      <c r="K3479" s="17" t="str">
        <f>HYPERLINK("http://ictvonline.org/taxonomyHistory.asp?taxnode_id=20173696","ICTVonline=20173696")</f>
        <v>ICTVonline=20173696</v>
      </c>
      <c r="L3479" s="3">
        <v>3478</v>
      </c>
    </row>
    <row r="3480" spans="1:12" x14ac:dyDescent="0.15">
      <c r="A3480" s="1" t="s">
        <v>908</v>
      </c>
      <c r="B3480" s="1" t="s">
        <v>1695</v>
      </c>
      <c r="D3480" s="1" t="s">
        <v>4302</v>
      </c>
      <c r="E3480" s="1" t="s">
        <v>3982</v>
      </c>
      <c r="F3480" s="3">
        <v>1</v>
      </c>
      <c r="G3480" s="8" t="s">
        <v>3976</v>
      </c>
      <c r="H3480" s="8" t="s">
        <v>5161</v>
      </c>
      <c r="I3480" s="3">
        <v>31</v>
      </c>
      <c r="J3480" s="3" t="s">
        <v>6209</v>
      </c>
      <c r="K3480" s="17" t="str">
        <f>HYPERLINK("http://ictvonline.org/taxonomyHistory.asp?taxnode_id=20173697","ICTVonline=20173697")</f>
        <v>ICTVonline=20173697</v>
      </c>
      <c r="L3480" s="3">
        <v>3479</v>
      </c>
    </row>
    <row r="3481" spans="1:12" x14ac:dyDescent="0.15">
      <c r="A3481" s="1" t="s">
        <v>908</v>
      </c>
      <c r="B3481" s="1" t="s">
        <v>1695</v>
      </c>
      <c r="D3481" s="1" t="s">
        <v>1019</v>
      </c>
      <c r="E3481" s="1" t="s">
        <v>6210</v>
      </c>
      <c r="F3481" s="3">
        <v>1</v>
      </c>
      <c r="G3481" s="8" t="s">
        <v>3976</v>
      </c>
      <c r="H3481" s="8" t="s">
        <v>5162</v>
      </c>
      <c r="I3481" s="3">
        <v>32</v>
      </c>
      <c r="J3481" s="3" t="s">
        <v>5564</v>
      </c>
      <c r="K3481" s="17" t="str">
        <f>HYPERLINK("http://ictvonline.org/taxonomyHistory.asp?taxnode_id=20173699","ICTVonline=20173699")</f>
        <v>ICTVonline=20173699</v>
      </c>
      <c r="L3481" s="3">
        <v>3480</v>
      </c>
    </row>
    <row r="3482" spans="1:12" x14ac:dyDescent="0.15">
      <c r="A3482" s="1" t="s">
        <v>908</v>
      </c>
      <c r="B3482" s="1" t="s">
        <v>1695</v>
      </c>
      <c r="D3482" s="1" t="s">
        <v>4303</v>
      </c>
      <c r="E3482" s="1" t="s">
        <v>3985</v>
      </c>
      <c r="F3482" s="3">
        <v>1</v>
      </c>
      <c r="G3482" s="8" t="s">
        <v>3976</v>
      </c>
      <c r="H3482" s="8" t="s">
        <v>5161</v>
      </c>
      <c r="I3482" s="3">
        <v>31</v>
      </c>
      <c r="J3482" s="3" t="s">
        <v>6209</v>
      </c>
      <c r="K3482" s="17" t="str">
        <f>HYPERLINK("http://ictvonline.org/taxonomyHistory.asp?taxnode_id=20173701","ICTVonline=20173701")</f>
        <v>ICTVonline=20173701</v>
      </c>
      <c r="L3482" s="3">
        <v>3481</v>
      </c>
    </row>
    <row r="3483" spans="1:12" x14ac:dyDescent="0.15">
      <c r="A3483" s="1" t="s">
        <v>908</v>
      </c>
      <c r="B3483" s="1" t="s">
        <v>1695</v>
      </c>
      <c r="D3483" s="1" t="s">
        <v>4303</v>
      </c>
      <c r="E3483" s="1" t="s">
        <v>5030</v>
      </c>
      <c r="F3483" s="3">
        <v>0</v>
      </c>
      <c r="G3483" s="8" t="s">
        <v>3976</v>
      </c>
      <c r="H3483" s="8" t="s">
        <v>5159</v>
      </c>
      <c r="I3483" s="3">
        <v>31</v>
      </c>
      <c r="J3483" s="3" t="s">
        <v>6209</v>
      </c>
      <c r="K3483" s="17" t="str">
        <f>HYPERLINK("http://ictvonline.org/taxonomyHistory.asp?taxnode_id=20173702","ICTVonline=20173702")</f>
        <v>ICTVonline=20173702</v>
      </c>
      <c r="L3483" s="3">
        <v>3482</v>
      </c>
    </row>
    <row r="3484" spans="1:12" x14ac:dyDescent="0.15">
      <c r="A3484" s="1" t="s">
        <v>908</v>
      </c>
      <c r="B3484" s="1" t="s">
        <v>1695</v>
      </c>
      <c r="D3484" s="1" t="s">
        <v>908</v>
      </c>
      <c r="E3484" s="1" t="s">
        <v>3978</v>
      </c>
      <c r="F3484" s="3">
        <v>0</v>
      </c>
      <c r="G3484" s="8" t="s">
        <v>3976</v>
      </c>
      <c r="H3484" s="8" t="s">
        <v>5161</v>
      </c>
      <c r="I3484" s="3">
        <v>31</v>
      </c>
      <c r="J3484" s="3" t="s">
        <v>6209</v>
      </c>
      <c r="K3484" s="17" t="str">
        <f>HYPERLINK("http://ictvonline.org/taxonomyHistory.asp?taxnode_id=20173704","ICTVonline=20173704")</f>
        <v>ICTVonline=20173704</v>
      </c>
      <c r="L3484" s="3">
        <v>3483</v>
      </c>
    </row>
    <row r="3485" spans="1:12" x14ac:dyDescent="0.15">
      <c r="A3485" s="1" t="s">
        <v>908</v>
      </c>
      <c r="B3485" s="1" t="s">
        <v>1695</v>
      </c>
      <c r="D3485" s="1" t="s">
        <v>908</v>
      </c>
      <c r="E3485" s="1" t="s">
        <v>5031</v>
      </c>
      <c r="F3485" s="3">
        <v>0</v>
      </c>
      <c r="G3485" s="8" t="s">
        <v>3976</v>
      </c>
      <c r="H3485" s="8" t="s">
        <v>5159</v>
      </c>
      <c r="I3485" s="3">
        <v>31</v>
      </c>
      <c r="J3485" s="3" t="s">
        <v>6209</v>
      </c>
      <c r="K3485" s="17" t="str">
        <f>HYPERLINK("http://ictvonline.org/taxonomyHistory.asp?taxnode_id=20173705","ICTVonline=20173705")</f>
        <v>ICTVonline=20173705</v>
      </c>
      <c r="L3485" s="3">
        <v>3484</v>
      </c>
    </row>
    <row r="3486" spans="1:12" x14ac:dyDescent="0.15">
      <c r="A3486" s="1" t="s">
        <v>908</v>
      </c>
      <c r="B3486" s="1" t="s">
        <v>1695</v>
      </c>
      <c r="D3486" s="1" t="s">
        <v>908</v>
      </c>
      <c r="E3486" s="1" t="s">
        <v>3980</v>
      </c>
      <c r="F3486" s="3">
        <v>0</v>
      </c>
      <c r="G3486" s="8" t="s">
        <v>3976</v>
      </c>
      <c r="H3486" s="8" t="s">
        <v>5161</v>
      </c>
      <c r="I3486" s="3">
        <v>31</v>
      </c>
      <c r="J3486" s="3" t="s">
        <v>6209</v>
      </c>
      <c r="K3486" s="17" t="str">
        <f>HYPERLINK("http://ictvonline.org/taxonomyHistory.asp?taxnode_id=20173706","ICTVonline=20173706")</f>
        <v>ICTVonline=20173706</v>
      </c>
      <c r="L3486" s="3">
        <v>3485</v>
      </c>
    </row>
    <row r="3487" spans="1:12" x14ac:dyDescent="0.15">
      <c r="A3487" s="1" t="s">
        <v>908</v>
      </c>
      <c r="B3487" s="1" t="s">
        <v>1695</v>
      </c>
      <c r="D3487" s="1" t="s">
        <v>908</v>
      </c>
      <c r="E3487" s="1" t="s">
        <v>3981</v>
      </c>
      <c r="F3487" s="3">
        <v>0</v>
      </c>
      <c r="G3487" s="8" t="s">
        <v>3976</v>
      </c>
      <c r="H3487" s="8" t="s">
        <v>5161</v>
      </c>
      <c r="I3487" s="3">
        <v>31</v>
      </c>
      <c r="J3487" s="3" t="s">
        <v>6209</v>
      </c>
      <c r="K3487" s="17" t="str">
        <f>HYPERLINK("http://ictvonline.org/taxonomyHistory.asp?taxnode_id=20173707","ICTVonline=20173707")</f>
        <v>ICTVonline=20173707</v>
      </c>
      <c r="L3487" s="3">
        <v>3486</v>
      </c>
    </row>
    <row r="3488" spans="1:12" x14ac:dyDescent="0.15">
      <c r="A3488" s="1" t="s">
        <v>908</v>
      </c>
      <c r="B3488" s="1" t="s">
        <v>1695</v>
      </c>
      <c r="D3488" s="1" t="s">
        <v>908</v>
      </c>
      <c r="E3488" s="1" t="s">
        <v>5032</v>
      </c>
      <c r="F3488" s="3">
        <v>0</v>
      </c>
      <c r="G3488" s="8" t="s">
        <v>3976</v>
      </c>
      <c r="H3488" s="8" t="s">
        <v>5159</v>
      </c>
      <c r="I3488" s="3">
        <v>31</v>
      </c>
      <c r="J3488" s="3" t="s">
        <v>6209</v>
      </c>
      <c r="K3488" s="17" t="str">
        <f>HYPERLINK("http://ictvonline.org/taxonomyHistory.asp?taxnode_id=20173708","ICTVonline=20173708")</f>
        <v>ICTVonline=20173708</v>
      </c>
      <c r="L3488" s="3">
        <v>3487</v>
      </c>
    </row>
    <row r="3489" spans="1:12" x14ac:dyDescent="0.15">
      <c r="A3489" s="1" t="s">
        <v>908</v>
      </c>
      <c r="B3489" s="1" t="s">
        <v>1695</v>
      </c>
      <c r="D3489" s="1" t="s">
        <v>908</v>
      </c>
      <c r="E3489" s="1" t="s">
        <v>5033</v>
      </c>
      <c r="F3489" s="3">
        <v>0</v>
      </c>
      <c r="G3489" s="8" t="s">
        <v>3976</v>
      </c>
      <c r="H3489" s="8" t="s">
        <v>5159</v>
      </c>
      <c r="I3489" s="3">
        <v>31</v>
      </c>
      <c r="J3489" s="3" t="s">
        <v>6209</v>
      </c>
      <c r="K3489" s="17" t="str">
        <f>HYPERLINK("http://ictvonline.org/taxonomyHistory.asp?taxnode_id=20173709","ICTVonline=20173709")</f>
        <v>ICTVonline=20173709</v>
      </c>
      <c r="L3489" s="3">
        <v>3488</v>
      </c>
    </row>
    <row r="3490" spans="1:12" x14ac:dyDescent="0.15">
      <c r="A3490" s="1" t="s">
        <v>908</v>
      </c>
      <c r="B3490" s="1" t="s">
        <v>1695</v>
      </c>
      <c r="D3490" s="1" t="s">
        <v>908</v>
      </c>
      <c r="E3490" s="1" t="s">
        <v>5034</v>
      </c>
      <c r="F3490" s="3">
        <v>0</v>
      </c>
      <c r="G3490" s="8" t="s">
        <v>3976</v>
      </c>
      <c r="H3490" s="8" t="s">
        <v>5159</v>
      </c>
      <c r="I3490" s="3">
        <v>31</v>
      </c>
      <c r="J3490" s="3" t="s">
        <v>6209</v>
      </c>
      <c r="K3490" s="17" t="str">
        <f>HYPERLINK("http://ictvonline.org/taxonomyHistory.asp?taxnode_id=20173710","ICTVonline=20173710")</f>
        <v>ICTVonline=20173710</v>
      </c>
      <c r="L3490" s="3">
        <v>3489</v>
      </c>
    </row>
    <row r="3491" spans="1:12" x14ac:dyDescent="0.15">
      <c r="A3491" s="1" t="s">
        <v>908</v>
      </c>
      <c r="B3491" s="1" t="s">
        <v>1695</v>
      </c>
      <c r="D3491" s="1" t="s">
        <v>908</v>
      </c>
      <c r="E3491" s="1" t="s">
        <v>5035</v>
      </c>
      <c r="F3491" s="3">
        <v>0</v>
      </c>
      <c r="G3491" s="8" t="s">
        <v>3976</v>
      </c>
      <c r="H3491" s="8" t="s">
        <v>5159</v>
      </c>
      <c r="I3491" s="3">
        <v>31</v>
      </c>
      <c r="J3491" s="3" t="s">
        <v>6209</v>
      </c>
      <c r="K3491" s="17" t="str">
        <f>HYPERLINK("http://ictvonline.org/taxonomyHistory.asp?taxnode_id=20173711","ICTVonline=20173711")</f>
        <v>ICTVonline=20173711</v>
      </c>
      <c r="L3491" s="3">
        <v>3490</v>
      </c>
    </row>
    <row r="3492" spans="1:12" x14ac:dyDescent="0.15">
      <c r="A3492" s="1" t="s">
        <v>908</v>
      </c>
      <c r="B3492" s="1" t="s">
        <v>1695</v>
      </c>
      <c r="D3492" s="1" t="s">
        <v>908</v>
      </c>
      <c r="E3492" s="1" t="s">
        <v>5036</v>
      </c>
      <c r="F3492" s="3">
        <v>0</v>
      </c>
      <c r="G3492" s="8" t="s">
        <v>3976</v>
      </c>
      <c r="H3492" s="8" t="s">
        <v>5159</v>
      </c>
      <c r="I3492" s="3">
        <v>31</v>
      </c>
      <c r="J3492" s="3" t="s">
        <v>6209</v>
      </c>
      <c r="K3492" s="17" t="str">
        <f>HYPERLINK("http://ictvonline.org/taxonomyHistory.asp?taxnode_id=20173712","ICTVonline=20173712")</f>
        <v>ICTVonline=20173712</v>
      </c>
      <c r="L3492" s="3">
        <v>3491</v>
      </c>
    </row>
    <row r="3493" spans="1:12" x14ac:dyDescent="0.15">
      <c r="A3493" s="1" t="s">
        <v>908</v>
      </c>
      <c r="B3493" s="1" t="s">
        <v>1695</v>
      </c>
      <c r="D3493" s="1" t="s">
        <v>908</v>
      </c>
      <c r="E3493" s="1" t="s">
        <v>5037</v>
      </c>
      <c r="F3493" s="3">
        <v>0</v>
      </c>
      <c r="G3493" s="8" t="s">
        <v>3976</v>
      </c>
      <c r="H3493" s="8" t="s">
        <v>5159</v>
      </c>
      <c r="I3493" s="3">
        <v>31</v>
      </c>
      <c r="J3493" s="3" t="s">
        <v>6209</v>
      </c>
      <c r="K3493" s="17" t="str">
        <f>HYPERLINK("http://ictvonline.org/taxonomyHistory.asp?taxnode_id=20173713","ICTVonline=20173713")</f>
        <v>ICTVonline=20173713</v>
      </c>
      <c r="L3493" s="3">
        <v>3492</v>
      </c>
    </row>
    <row r="3494" spans="1:12" x14ac:dyDescent="0.15">
      <c r="A3494" s="1" t="s">
        <v>908</v>
      </c>
      <c r="B3494" s="1" t="s">
        <v>1695</v>
      </c>
      <c r="D3494" s="1" t="s">
        <v>908</v>
      </c>
      <c r="E3494" s="1" t="s">
        <v>5038</v>
      </c>
      <c r="F3494" s="3">
        <v>0</v>
      </c>
      <c r="G3494" s="8" t="s">
        <v>3976</v>
      </c>
      <c r="H3494" s="8" t="s">
        <v>5159</v>
      </c>
      <c r="I3494" s="3">
        <v>31</v>
      </c>
      <c r="J3494" s="3" t="s">
        <v>6209</v>
      </c>
      <c r="K3494" s="17" t="str">
        <f>HYPERLINK("http://ictvonline.org/taxonomyHistory.asp?taxnode_id=20173714","ICTVonline=20173714")</f>
        <v>ICTVonline=20173714</v>
      </c>
      <c r="L3494" s="3">
        <v>3493</v>
      </c>
    </row>
    <row r="3495" spans="1:12" x14ac:dyDescent="0.15">
      <c r="A3495" s="1" t="s">
        <v>908</v>
      </c>
      <c r="B3495" s="1" t="s">
        <v>1695</v>
      </c>
      <c r="D3495" s="1" t="s">
        <v>908</v>
      </c>
      <c r="E3495" s="1" t="s">
        <v>3983</v>
      </c>
      <c r="F3495" s="3">
        <v>0</v>
      </c>
      <c r="G3495" s="8" t="s">
        <v>3976</v>
      </c>
      <c r="H3495" s="8" t="s">
        <v>5161</v>
      </c>
      <c r="I3495" s="3">
        <v>31</v>
      </c>
      <c r="J3495" s="3" t="s">
        <v>6209</v>
      </c>
      <c r="K3495" s="17" t="str">
        <f>HYPERLINK("http://ictvonline.org/taxonomyHistory.asp?taxnode_id=20173715","ICTVonline=20173715")</f>
        <v>ICTVonline=20173715</v>
      </c>
      <c r="L3495" s="3">
        <v>3494</v>
      </c>
    </row>
    <row r="3496" spans="1:12" x14ac:dyDescent="0.15">
      <c r="A3496" s="1" t="s">
        <v>908</v>
      </c>
      <c r="B3496" s="1" t="s">
        <v>1695</v>
      </c>
      <c r="D3496" s="1" t="s">
        <v>908</v>
      </c>
      <c r="E3496" s="1" t="s">
        <v>5039</v>
      </c>
      <c r="F3496" s="3">
        <v>0</v>
      </c>
      <c r="G3496" s="8" t="s">
        <v>3976</v>
      </c>
      <c r="H3496" s="8" t="s">
        <v>5159</v>
      </c>
      <c r="I3496" s="3">
        <v>31</v>
      </c>
      <c r="J3496" s="3" t="s">
        <v>6209</v>
      </c>
      <c r="K3496" s="17" t="str">
        <f>HYPERLINK("http://ictvonline.org/taxonomyHistory.asp?taxnode_id=20173716","ICTVonline=20173716")</f>
        <v>ICTVonline=20173716</v>
      </c>
      <c r="L3496" s="3">
        <v>3495</v>
      </c>
    </row>
    <row r="3497" spans="1:12" x14ac:dyDescent="0.15">
      <c r="A3497" s="1" t="s">
        <v>908</v>
      </c>
      <c r="B3497" s="1" t="s">
        <v>1695</v>
      </c>
      <c r="D3497" s="1" t="s">
        <v>908</v>
      </c>
      <c r="E3497" s="1" t="s">
        <v>5040</v>
      </c>
      <c r="F3497" s="3">
        <v>0</v>
      </c>
      <c r="G3497" s="8" t="s">
        <v>3976</v>
      </c>
      <c r="H3497" s="8" t="s">
        <v>5159</v>
      </c>
      <c r="I3497" s="3">
        <v>31</v>
      </c>
      <c r="J3497" s="3" t="s">
        <v>6209</v>
      </c>
      <c r="K3497" s="17" t="str">
        <f>HYPERLINK("http://ictvonline.org/taxonomyHistory.asp?taxnode_id=20173717","ICTVonline=20173717")</f>
        <v>ICTVonline=20173717</v>
      </c>
      <c r="L3497" s="3">
        <v>3496</v>
      </c>
    </row>
    <row r="3498" spans="1:12" x14ac:dyDescent="0.15">
      <c r="A3498" s="1" t="s">
        <v>908</v>
      </c>
      <c r="B3498" s="1" t="s">
        <v>1695</v>
      </c>
      <c r="D3498" s="1" t="s">
        <v>908</v>
      </c>
      <c r="E3498" s="1" t="s">
        <v>3986</v>
      </c>
      <c r="F3498" s="3">
        <v>0</v>
      </c>
      <c r="G3498" s="8" t="s">
        <v>3976</v>
      </c>
      <c r="H3498" s="8" t="s">
        <v>5161</v>
      </c>
      <c r="I3498" s="3">
        <v>31</v>
      </c>
      <c r="J3498" s="3" t="s">
        <v>6209</v>
      </c>
      <c r="K3498" s="17" t="str">
        <f>HYPERLINK("http://ictvonline.org/taxonomyHistory.asp?taxnode_id=20173718","ICTVonline=20173718")</f>
        <v>ICTVonline=20173718</v>
      </c>
      <c r="L3498" s="3">
        <v>3497</v>
      </c>
    </row>
    <row r="3499" spans="1:12" x14ac:dyDescent="0.15">
      <c r="A3499" s="1" t="s">
        <v>908</v>
      </c>
      <c r="B3499" s="1" t="s">
        <v>1695</v>
      </c>
      <c r="D3499" s="1" t="s">
        <v>908</v>
      </c>
      <c r="E3499" s="1" t="s">
        <v>5041</v>
      </c>
      <c r="F3499" s="3">
        <v>0</v>
      </c>
      <c r="G3499" s="8" t="s">
        <v>3976</v>
      </c>
      <c r="H3499" s="8" t="s">
        <v>5159</v>
      </c>
      <c r="I3499" s="3">
        <v>31</v>
      </c>
      <c r="J3499" s="3" t="s">
        <v>6209</v>
      </c>
      <c r="K3499" s="17" t="str">
        <f>HYPERLINK("http://ictvonline.org/taxonomyHistory.asp?taxnode_id=20173719","ICTVonline=20173719")</f>
        <v>ICTVonline=20173719</v>
      </c>
      <c r="L3499" s="3">
        <v>3498</v>
      </c>
    </row>
    <row r="3500" spans="1:12" x14ac:dyDescent="0.15">
      <c r="A3500" s="1" t="s">
        <v>908</v>
      </c>
      <c r="B3500" s="1" t="s">
        <v>1695</v>
      </c>
      <c r="D3500" s="1" t="s">
        <v>908</v>
      </c>
      <c r="E3500" s="1" t="s">
        <v>3987</v>
      </c>
      <c r="F3500" s="3">
        <v>0</v>
      </c>
      <c r="G3500" s="8" t="s">
        <v>3976</v>
      </c>
      <c r="H3500" s="8" t="s">
        <v>5161</v>
      </c>
      <c r="I3500" s="3">
        <v>31</v>
      </c>
      <c r="J3500" s="3" t="s">
        <v>6209</v>
      </c>
      <c r="K3500" s="17" t="str">
        <f>HYPERLINK("http://ictvonline.org/taxonomyHistory.asp?taxnode_id=20173720","ICTVonline=20173720")</f>
        <v>ICTVonline=20173720</v>
      </c>
      <c r="L3500" s="3">
        <v>3499</v>
      </c>
    </row>
    <row r="3501" spans="1:12" x14ac:dyDescent="0.15">
      <c r="A3501" s="1" t="s">
        <v>908</v>
      </c>
      <c r="B3501" s="1" t="s">
        <v>1695</v>
      </c>
      <c r="D3501" s="1" t="s">
        <v>4304</v>
      </c>
      <c r="E3501" s="1" t="s">
        <v>3988</v>
      </c>
      <c r="F3501" s="3">
        <v>0</v>
      </c>
      <c r="G3501" s="8" t="s">
        <v>3976</v>
      </c>
      <c r="H3501" s="8" t="s">
        <v>5161</v>
      </c>
      <c r="I3501" s="3">
        <v>31</v>
      </c>
      <c r="J3501" s="3" t="s">
        <v>6209</v>
      </c>
      <c r="K3501" s="17" t="str">
        <f>HYPERLINK("http://ictvonline.org/taxonomyHistory.asp?taxnode_id=20173722","ICTVonline=20173722")</f>
        <v>ICTVonline=20173722</v>
      </c>
      <c r="L3501" s="3">
        <v>3500</v>
      </c>
    </row>
    <row r="3502" spans="1:12" x14ac:dyDescent="0.15">
      <c r="A3502" s="1" t="s">
        <v>908</v>
      </c>
      <c r="B3502" s="1" t="s">
        <v>1695</v>
      </c>
      <c r="D3502" s="1" t="s">
        <v>4304</v>
      </c>
      <c r="E3502" s="1" t="s">
        <v>3989</v>
      </c>
      <c r="F3502" s="3">
        <v>1</v>
      </c>
      <c r="G3502" s="8" t="s">
        <v>3976</v>
      </c>
      <c r="H3502" s="8" t="s">
        <v>5161</v>
      </c>
      <c r="I3502" s="3">
        <v>31</v>
      </c>
      <c r="J3502" s="3" t="s">
        <v>6209</v>
      </c>
      <c r="K3502" s="17" t="str">
        <f>HYPERLINK("http://ictvonline.org/taxonomyHistory.asp?taxnode_id=20173723","ICTVonline=20173723")</f>
        <v>ICTVonline=20173723</v>
      </c>
      <c r="L3502" s="3">
        <v>3501</v>
      </c>
    </row>
    <row r="3503" spans="1:12" x14ac:dyDescent="0.15">
      <c r="A3503" s="1" t="s">
        <v>908</v>
      </c>
      <c r="B3503" s="1" t="s">
        <v>1695</v>
      </c>
      <c r="D3503" s="1" t="s">
        <v>4304</v>
      </c>
      <c r="E3503" s="1" t="s">
        <v>5042</v>
      </c>
      <c r="F3503" s="3">
        <v>0</v>
      </c>
      <c r="G3503" s="8" t="s">
        <v>3976</v>
      </c>
      <c r="H3503" s="8" t="s">
        <v>5159</v>
      </c>
      <c r="I3503" s="3">
        <v>31</v>
      </c>
      <c r="J3503" s="3" t="s">
        <v>6209</v>
      </c>
      <c r="K3503" s="17" t="str">
        <f>HYPERLINK("http://ictvonline.org/taxonomyHistory.asp?taxnode_id=20173724","ICTVonline=20173724")</f>
        <v>ICTVonline=20173724</v>
      </c>
      <c r="L3503" s="3">
        <v>3502</v>
      </c>
    </row>
    <row r="3504" spans="1:12" x14ac:dyDescent="0.15">
      <c r="A3504" s="1" t="s">
        <v>908</v>
      </c>
      <c r="B3504" s="1" t="s">
        <v>1432</v>
      </c>
      <c r="C3504" s="1" t="s">
        <v>4305</v>
      </c>
      <c r="D3504" s="1" t="s">
        <v>1028</v>
      </c>
      <c r="E3504" s="1" t="s">
        <v>1029</v>
      </c>
      <c r="F3504" s="3">
        <v>1</v>
      </c>
      <c r="G3504" s="8" t="s">
        <v>2771</v>
      </c>
      <c r="H3504" s="8" t="s">
        <v>5161</v>
      </c>
      <c r="I3504" s="3">
        <v>31</v>
      </c>
      <c r="J3504" s="3" t="s">
        <v>6211</v>
      </c>
      <c r="K3504" s="17" t="str">
        <f>HYPERLINK("http://ictvonline.org/taxonomyHistory.asp?taxnode_id=20173728","ICTVonline=20173728")</f>
        <v>ICTVonline=20173728</v>
      </c>
      <c r="L3504" s="3">
        <v>3503</v>
      </c>
    </row>
    <row r="3505" spans="1:12" x14ac:dyDescent="0.15">
      <c r="A3505" s="1" t="s">
        <v>908</v>
      </c>
      <c r="B3505" s="1" t="s">
        <v>1432</v>
      </c>
      <c r="C3505" s="1" t="s">
        <v>4305</v>
      </c>
      <c r="D3505" s="1" t="s">
        <v>1030</v>
      </c>
      <c r="E3505" s="1" t="s">
        <v>1031</v>
      </c>
      <c r="F3505" s="3">
        <v>1</v>
      </c>
      <c r="G3505" s="8" t="s">
        <v>2771</v>
      </c>
      <c r="H3505" s="8" t="s">
        <v>5161</v>
      </c>
      <c r="I3505" s="3">
        <v>31</v>
      </c>
      <c r="J3505" s="3" t="s">
        <v>6211</v>
      </c>
      <c r="K3505" s="17" t="str">
        <f>HYPERLINK("http://ictvonline.org/taxonomyHistory.asp?taxnode_id=20173730","ICTVonline=20173730")</f>
        <v>ICTVonline=20173730</v>
      </c>
      <c r="L3505" s="3">
        <v>3504</v>
      </c>
    </row>
    <row r="3506" spans="1:12" x14ac:dyDescent="0.15">
      <c r="A3506" s="1" t="s">
        <v>908</v>
      </c>
      <c r="B3506" s="1" t="s">
        <v>1432</v>
      </c>
      <c r="C3506" s="1" t="s">
        <v>4305</v>
      </c>
      <c r="D3506" s="1" t="s">
        <v>1032</v>
      </c>
      <c r="E3506" s="1" t="s">
        <v>1033</v>
      </c>
      <c r="F3506" s="3">
        <v>0</v>
      </c>
      <c r="G3506" s="8" t="s">
        <v>2771</v>
      </c>
      <c r="H3506" s="8" t="s">
        <v>5161</v>
      </c>
      <c r="I3506" s="3">
        <v>31</v>
      </c>
      <c r="J3506" s="3" t="s">
        <v>6211</v>
      </c>
      <c r="K3506" s="17" t="str">
        <f>HYPERLINK("http://ictvonline.org/taxonomyHistory.asp?taxnode_id=20173732","ICTVonline=20173732")</f>
        <v>ICTVonline=20173732</v>
      </c>
      <c r="L3506" s="3">
        <v>3505</v>
      </c>
    </row>
    <row r="3507" spans="1:12" x14ac:dyDescent="0.15">
      <c r="A3507" s="1" t="s">
        <v>908</v>
      </c>
      <c r="B3507" s="1" t="s">
        <v>1432</v>
      </c>
      <c r="C3507" s="1" t="s">
        <v>4305</v>
      </c>
      <c r="D3507" s="1" t="s">
        <v>1032</v>
      </c>
      <c r="E3507" s="1" t="s">
        <v>1034</v>
      </c>
      <c r="F3507" s="3">
        <v>0</v>
      </c>
      <c r="G3507" s="8" t="s">
        <v>2771</v>
      </c>
      <c r="H3507" s="8" t="s">
        <v>5161</v>
      </c>
      <c r="I3507" s="3">
        <v>31</v>
      </c>
      <c r="J3507" s="3" t="s">
        <v>6211</v>
      </c>
      <c r="K3507" s="17" t="str">
        <f>HYPERLINK("http://ictvonline.org/taxonomyHistory.asp?taxnode_id=20173733","ICTVonline=20173733")</f>
        <v>ICTVonline=20173733</v>
      </c>
      <c r="L3507" s="3">
        <v>3506</v>
      </c>
    </row>
    <row r="3508" spans="1:12" x14ac:dyDescent="0.15">
      <c r="A3508" s="1" t="s">
        <v>908</v>
      </c>
      <c r="B3508" s="1" t="s">
        <v>1432</v>
      </c>
      <c r="C3508" s="1" t="s">
        <v>4305</v>
      </c>
      <c r="D3508" s="1" t="s">
        <v>1032</v>
      </c>
      <c r="E3508" s="1" t="s">
        <v>6212</v>
      </c>
      <c r="F3508" s="3">
        <v>0</v>
      </c>
      <c r="G3508" s="8" t="s">
        <v>2771</v>
      </c>
      <c r="H3508" s="8" t="s">
        <v>5159</v>
      </c>
      <c r="I3508" s="3">
        <v>32</v>
      </c>
      <c r="J3508" s="3" t="s">
        <v>6213</v>
      </c>
      <c r="K3508" s="17" t="str">
        <f>HYPERLINK("http://ictvonline.org/taxonomyHistory.asp?taxnode_id=20175861","ICTVonline=20175861")</f>
        <v>ICTVonline=20175861</v>
      </c>
      <c r="L3508" s="3">
        <v>3507</v>
      </c>
    </row>
    <row r="3509" spans="1:12" x14ac:dyDescent="0.15">
      <c r="A3509" s="1" t="s">
        <v>908</v>
      </c>
      <c r="B3509" s="1" t="s">
        <v>1432</v>
      </c>
      <c r="C3509" s="1" t="s">
        <v>4305</v>
      </c>
      <c r="D3509" s="1" t="s">
        <v>1032</v>
      </c>
      <c r="E3509" s="1" t="s">
        <v>1112</v>
      </c>
      <c r="F3509" s="3">
        <v>0</v>
      </c>
      <c r="G3509" s="8" t="s">
        <v>2771</v>
      </c>
      <c r="H3509" s="8" t="s">
        <v>5161</v>
      </c>
      <c r="I3509" s="3">
        <v>31</v>
      </c>
      <c r="J3509" s="3" t="s">
        <v>6211</v>
      </c>
      <c r="K3509" s="17" t="str">
        <f>HYPERLINK("http://ictvonline.org/taxonomyHistory.asp?taxnode_id=20173734","ICTVonline=20173734")</f>
        <v>ICTVonline=20173734</v>
      </c>
      <c r="L3509" s="3">
        <v>3508</v>
      </c>
    </row>
    <row r="3510" spans="1:12" x14ac:dyDescent="0.15">
      <c r="A3510" s="1" t="s">
        <v>908</v>
      </c>
      <c r="B3510" s="1" t="s">
        <v>1432</v>
      </c>
      <c r="C3510" s="1" t="s">
        <v>4305</v>
      </c>
      <c r="D3510" s="1" t="s">
        <v>1032</v>
      </c>
      <c r="E3510" s="1" t="s">
        <v>1113</v>
      </c>
      <c r="F3510" s="3">
        <v>0</v>
      </c>
      <c r="G3510" s="8" t="s">
        <v>2771</v>
      </c>
      <c r="H3510" s="8" t="s">
        <v>5161</v>
      </c>
      <c r="I3510" s="3">
        <v>31</v>
      </c>
      <c r="J3510" s="3" t="s">
        <v>6211</v>
      </c>
      <c r="K3510" s="17" t="str">
        <f>HYPERLINK("http://ictvonline.org/taxonomyHistory.asp?taxnode_id=20173735","ICTVonline=20173735")</f>
        <v>ICTVonline=20173735</v>
      </c>
      <c r="L3510" s="3">
        <v>3509</v>
      </c>
    </row>
    <row r="3511" spans="1:12" x14ac:dyDescent="0.15">
      <c r="A3511" s="1" t="s">
        <v>908</v>
      </c>
      <c r="B3511" s="1" t="s">
        <v>1432</v>
      </c>
      <c r="C3511" s="1" t="s">
        <v>4305</v>
      </c>
      <c r="D3511" s="1" t="s">
        <v>1032</v>
      </c>
      <c r="E3511" s="1" t="s">
        <v>1114</v>
      </c>
      <c r="F3511" s="3">
        <v>1</v>
      </c>
      <c r="G3511" s="8" t="s">
        <v>2771</v>
      </c>
      <c r="H3511" s="8" t="s">
        <v>5161</v>
      </c>
      <c r="I3511" s="3">
        <v>31</v>
      </c>
      <c r="J3511" s="3" t="s">
        <v>6211</v>
      </c>
      <c r="K3511" s="17" t="str">
        <f>HYPERLINK("http://ictvonline.org/taxonomyHistory.asp?taxnode_id=20173736","ICTVonline=20173736")</f>
        <v>ICTVonline=20173736</v>
      </c>
      <c r="L3511" s="3">
        <v>3510</v>
      </c>
    </row>
    <row r="3512" spans="1:12" x14ac:dyDescent="0.15">
      <c r="A3512" s="1" t="s">
        <v>908</v>
      </c>
      <c r="B3512" s="1" t="s">
        <v>1432</v>
      </c>
      <c r="C3512" s="1" t="s">
        <v>4305</v>
      </c>
      <c r="D3512" s="1" t="s">
        <v>1032</v>
      </c>
      <c r="E3512" s="1" t="s">
        <v>1115</v>
      </c>
      <c r="F3512" s="3">
        <v>0</v>
      </c>
      <c r="G3512" s="8" t="s">
        <v>2771</v>
      </c>
      <c r="H3512" s="8" t="s">
        <v>5161</v>
      </c>
      <c r="I3512" s="3">
        <v>31</v>
      </c>
      <c r="J3512" s="3" t="s">
        <v>6211</v>
      </c>
      <c r="K3512" s="17" t="str">
        <f>HYPERLINK("http://ictvonline.org/taxonomyHistory.asp?taxnode_id=20173737","ICTVonline=20173737")</f>
        <v>ICTVonline=20173737</v>
      </c>
      <c r="L3512" s="3">
        <v>3511</v>
      </c>
    </row>
    <row r="3513" spans="1:12" x14ac:dyDescent="0.15">
      <c r="A3513" s="1" t="s">
        <v>908</v>
      </c>
      <c r="B3513" s="1" t="s">
        <v>1432</v>
      </c>
      <c r="C3513" s="1" t="s">
        <v>4305</v>
      </c>
      <c r="D3513" s="1" t="s">
        <v>1032</v>
      </c>
      <c r="E3513" s="1" t="s">
        <v>5043</v>
      </c>
      <c r="F3513" s="3">
        <v>0</v>
      </c>
      <c r="G3513" s="8" t="s">
        <v>2771</v>
      </c>
      <c r="H3513" s="8" t="s">
        <v>5159</v>
      </c>
      <c r="I3513" s="3">
        <v>31</v>
      </c>
      <c r="J3513" s="3" t="s">
        <v>6211</v>
      </c>
      <c r="K3513" s="17" t="str">
        <f>HYPERLINK("http://ictvonline.org/taxonomyHistory.asp?taxnode_id=20173738","ICTVonline=20173738")</f>
        <v>ICTVonline=20173738</v>
      </c>
      <c r="L3513" s="3">
        <v>3512</v>
      </c>
    </row>
    <row r="3514" spans="1:12" x14ac:dyDescent="0.15">
      <c r="A3514" s="1" t="s">
        <v>908</v>
      </c>
      <c r="B3514" s="1" t="s">
        <v>1432</v>
      </c>
      <c r="C3514" s="1" t="s">
        <v>4306</v>
      </c>
      <c r="D3514" s="1" t="s">
        <v>1433</v>
      </c>
      <c r="E3514" s="1" t="s">
        <v>1434</v>
      </c>
      <c r="F3514" s="3">
        <v>1</v>
      </c>
      <c r="G3514" s="8" t="s">
        <v>2771</v>
      </c>
      <c r="H3514" s="8" t="s">
        <v>5161</v>
      </c>
      <c r="I3514" s="3">
        <v>31</v>
      </c>
      <c r="J3514" s="3" t="s">
        <v>6211</v>
      </c>
      <c r="K3514" s="17" t="str">
        <f>HYPERLINK("http://ictvonline.org/taxonomyHistory.asp?taxnode_id=20173741","ICTVonline=20173741")</f>
        <v>ICTVonline=20173741</v>
      </c>
      <c r="L3514" s="3">
        <v>3513</v>
      </c>
    </row>
    <row r="3515" spans="1:12" x14ac:dyDescent="0.15">
      <c r="A3515" s="1" t="s">
        <v>908</v>
      </c>
      <c r="B3515" s="1" t="s">
        <v>1432</v>
      </c>
      <c r="C3515" s="1" t="s">
        <v>4306</v>
      </c>
      <c r="D3515" s="1" t="s">
        <v>1035</v>
      </c>
      <c r="E3515" s="1" t="s">
        <v>1036</v>
      </c>
      <c r="F3515" s="3">
        <v>0</v>
      </c>
      <c r="G3515" s="8" t="s">
        <v>2771</v>
      </c>
      <c r="H3515" s="8" t="s">
        <v>5161</v>
      </c>
      <c r="I3515" s="3">
        <v>31</v>
      </c>
      <c r="J3515" s="3" t="s">
        <v>6211</v>
      </c>
      <c r="K3515" s="17" t="str">
        <f>HYPERLINK("http://ictvonline.org/taxonomyHistory.asp?taxnode_id=20173743","ICTVonline=20173743")</f>
        <v>ICTVonline=20173743</v>
      </c>
      <c r="L3515" s="3">
        <v>3514</v>
      </c>
    </row>
    <row r="3516" spans="1:12" x14ac:dyDescent="0.15">
      <c r="A3516" s="1" t="s">
        <v>908</v>
      </c>
      <c r="B3516" s="1" t="s">
        <v>1432</v>
      </c>
      <c r="C3516" s="1" t="s">
        <v>4306</v>
      </c>
      <c r="D3516" s="1" t="s">
        <v>1035</v>
      </c>
      <c r="E3516" s="1" t="s">
        <v>1027</v>
      </c>
      <c r="F3516" s="3">
        <v>1</v>
      </c>
      <c r="G3516" s="8" t="s">
        <v>2771</v>
      </c>
      <c r="H3516" s="8" t="s">
        <v>5161</v>
      </c>
      <c r="I3516" s="3">
        <v>31</v>
      </c>
      <c r="J3516" s="3" t="s">
        <v>6211</v>
      </c>
      <c r="K3516" s="17" t="str">
        <f>HYPERLINK("http://ictvonline.org/taxonomyHistory.asp?taxnode_id=20173744","ICTVonline=20173744")</f>
        <v>ICTVonline=20173744</v>
      </c>
      <c r="L3516" s="3">
        <v>3515</v>
      </c>
    </row>
    <row r="3517" spans="1:12" x14ac:dyDescent="0.15">
      <c r="A3517" s="1" t="s">
        <v>908</v>
      </c>
      <c r="B3517" s="1" t="s">
        <v>3990</v>
      </c>
      <c r="D3517" s="1" t="s">
        <v>3991</v>
      </c>
      <c r="E3517" s="1" t="s">
        <v>3992</v>
      </c>
      <c r="F3517" s="3">
        <v>1</v>
      </c>
      <c r="G3517" s="8" t="s">
        <v>2771</v>
      </c>
      <c r="H3517" s="8" t="s">
        <v>5159</v>
      </c>
      <c r="I3517" s="3">
        <v>30</v>
      </c>
      <c r="J3517" s="3" t="s">
        <v>6214</v>
      </c>
      <c r="K3517" s="17" t="str">
        <f>HYPERLINK("http://ictvonline.org/taxonomyHistory.asp?taxnode_id=20173747","ICTVonline=20173747")</f>
        <v>ICTVonline=20173747</v>
      </c>
      <c r="L3517" s="3">
        <v>3516</v>
      </c>
    </row>
    <row r="3518" spans="1:12" x14ac:dyDescent="0.15">
      <c r="A3518" s="1" t="s">
        <v>908</v>
      </c>
      <c r="B3518" s="1" t="s">
        <v>3990</v>
      </c>
      <c r="D3518" s="1" t="s">
        <v>3993</v>
      </c>
      <c r="E3518" s="1" t="s">
        <v>3994</v>
      </c>
      <c r="F3518" s="3">
        <v>1</v>
      </c>
      <c r="G3518" s="8" t="s">
        <v>2771</v>
      </c>
      <c r="H3518" s="8" t="s">
        <v>5159</v>
      </c>
      <c r="I3518" s="3">
        <v>30</v>
      </c>
      <c r="J3518" s="3" t="s">
        <v>6214</v>
      </c>
      <c r="K3518" s="17" t="str">
        <f>HYPERLINK("http://ictvonline.org/taxonomyHistory.asp?taxnode_id=20173749","ICTVonline=20173749")</f>
        <v>ICTVonline=20173749</v>
      </c>
      <c r="L3518" s="3">
        <v>3517</v>
      </c>
    </row>
    <row r="3519" spans="1:12" x14ac:dyDescent="0.15">
      <c r="A3519" s="1" t="s">
        <v>908</v>
      </c>
      <c r="B3519" s="1" t="s">
        <v>3990</v>
      </c>
      <c r="D3519" s="1" t="s">
        <v>3993</v>
      </c>
      <c r="E3519" s="1" t="s">
        <v>3995</v>
      </c>
      <c r="F3519" s="3">
        <v>0</v>
      </c>
      <c r="G3519" s="8" t="s">
        <v>2771</v>
      </c>
      <c r="H3519" s="8" t="s">
        <v>5159</v>
      </c>
      <c r="I3519" s="3">
        <v>30</v>
      </c>
      <c r="J3519" s="3" t="s">
        <v>6214</v>
      </c>
      <c r="K3519" s="17" t="str">
        <f>HYPERLINK("http://ictvonline.org/taxonomyHistory.asp?taxnode_id=20173750","ICTVonline=20173750")</f>
        <v>ICTVonline=20173750</v>
      </c>
      <c r="L3519" s="3">
        <v>3518</v>
      </c>
    </row>
    <row r="3520" spans="1:12" x14ac:dyDescent="0.15">
      <c r="A3520" s="1" t="s">
        <v>908</v>
      </c>
      <c r="B3520" s="1" t="s">
        <v>1116</v>
      </c>
      <c r="D3520" s="1" t="s">
        <v>1117</v>
      </c>
      <c r="E3520" s="1" t="s">
        <v>3996</v>
      </c>
      <c r="F3520" s="3">
        <v>0</v>
      </c>
      <c r="G3520" s="8" t="s">
        <v>2773</v>
      </c>
      <c r="H3520" s="8" t="s">
        <v>5162</v>
      </c>
      <c r="I3520" s="3">
        <v>30</v>
      </c>
      <c r="J3520" s="3" t="s">
        <v>5297</v>
      </c>
      <c r="K3520" s="17" t="str">
        <f>HYPERLINK("http://ictvonline.org/taxonomyHistory.asp?taxnode_id=20173754","ICTVonline=20173754")</f>
        <v>ICTVonline=20173754</v>
      </c>
      <c r="L3520" s="3">
        <v>3519</v>
      </c>
    </row>
    <row r="3521" spans="1:12" x14ac:dyDescent="0.15">
      <c r="A3521" s="1" t="s">
        <v>908</v>
      </c>
      <c r="B3521" s="1" t="s">
        <v>1116</v>
      </c>
      <c r="D3521" s="1" t="s">
        <v>1117</v>
      </c>
      <c r="E3521" s="1" t="s">
        <v>3997</v>
      </c>
      <c r="F3521" s="3">
        <v>1</v>
      </c>
      <c r="G3521" s="8" t="s">
        <v>2773</v>
      </c>
      <c r="H3521" s="8" t="s">
        <v>5162</v>
      </c>
      <c r="I3521" s="3">
        <v>30</v>
      </c>
      <c r="J3521" s="3" t="s">
        <v>5297</v>
      </c>
      <c r="K3521" s="17" t="str">
        <f>HYPERLINK("http://ictvonline.org/taxonomyHistory.asp?taxnode_id=20173755","ICTVonline=20173755")</f>
        <v>ICTVonline=20173755</v>
      </c>
      <c r="L3521" s="3">
        <v>3520</v>
      </c>
    </row>
    <row r="3522" spans="1:12" x14ac:dyDescent="0.15">
      <c r="A3522" s="1" t="s">
        <v>908</v>
      </c>
      <c r="B3522" s="1" t="s">
        <v>1116</v>
      </c>
      <c r="D3522" s="1" t="s">
        <v>1640</v>
      </c>
      <c r="E3522" s="1" t="s">
        <v>3998</v>
      </c>
      <c r="F3522" s="3">
        <v>0</v>
      </c>
      <c r="G3522" s="8" t="s">
        <v>2773</v>
      </c>
      <c r="H3522" s="8" t="s">
        <v>5162</v>
      </c>
      <c r="I3522" s="3">
        <v>30</v>
      </c>
      <c r="J3522" s="3" t="s">
        <v>5297</v>
      </c>
      <c r="K3522" s="17" t="str">
        <f>HYPERLINK("http://ictvonline.org/taxonomyHistory.asp?taxnode_id=20173757","ICTVonline=20173757")</f>
        <v>ICTVonline=20173757</v>
      </c>
      <c r="L3522" s="3">
        <v>3521</v>
      </c>
    </row>
    <row r="3523" spans="1:12" x14ac:dyDescent="0.15">
      <c r="A3523" s="1" t="s">
        <v>908</v>
      </c>
      <c r="B3523" s="1" t="s">
        <v>1116</v>
      </c>
      <c r="D3523" s="1" t="s">
        <v>1640</v>
      </c>
      <c r="E3523" s="1" t="s">
        <v>3999</v>
      </c>
      <c r="F3523" s="3">
        <v>1</v>
      </c>
      <c r="G3523" s="8" t="s">
        <v>2773</v>
      </c>
      <c r="H3523" s="8" t="s">
        <v>5162</v>
      </c>
      <c r="I3523" s="3">
        <v>30</v>
      </c>
      <c r="J3523" s="3" t="s">
        <v>5297</v>
      </c>
      <c r="K3523" s="17" t="str">
        <f>HYPERLINK("http://ictvonline.org/taxonomyHistory.asp?taxnode_id=20173758","ICTVonline=20173758")</f>
        <v>ICTVonline=20173758</v>
      </c>
      <c r="L3523" s="3">
        <v>3522</v>
      </c>
    </row>
    <row r="3524" spans="1:12" x14ac:dyDescent="0.15">
      <c r="A3524" s="1" t="s">
        <v>908</v>
      </c>
      <c r="B3524" s="1" t="s">
        <v>1988</v>
      </c>
      <c r="D3524" s="1" t="s">
        <v>1134</v>
      </c>
      <c r="E3524" s="1" t="s">
        <v>5044</v>
      </c>
      <c r="F3524" s="3">
        <v>0</v>
      </c>
      <c r="G3524" s="8" t="s">
        <v>2773</v>
      </c>
      <c r="H3524" s="8" t="s">
        <v>5159</v>
      </c>
      <c r="I3524" s="3">
        <v>31</v>
      </c>
      <c r="J3524" s="3" t="s">
        <v>6215</v>
      </c>
      <c r="K3524" s="17" t="str">
        <f>HYPERLINK("http://ictvonline.org/taxonomyHistory.asp?taxnode_id=20173762","ICTVonline=20173762")</f>
        <v>ICTVonline=20173762</v>
      </c>
      <c r="L3524" s="3">
        <v>3523</v>
      </c>
    </row>
    <row r="3525" spans="1:12" x14ac:dyDescent="0.15">
      <c r="A3525" s="1" t="s">
        <v>908</v>
      </c>
      <c r="B3525" s="1" t="s">
        <v>1988</v>
      </c>
      <c r="D3525" s="1" t="s">
        <v>1134</v>
      </c>
      <c r="E3525" s="1" t="s">
        <v>2491</v>
      </c>
      <c r="F3525" s="3">
        <v>1</v>
      </c>
      <c r="G3525" s="8" t="s">
        <v>2773</v>
      </c>
      <c r="H3525" s="8" t="s">
        <v>5161</v>
      </c>
      <c r="I3525" s="3">
        <v>29</v>
      </c>
      <c r="J3525" s="3" t="s">
        <v>6216</v>
      </c>
      <c r="K3525" s="17" t="str">
        <f>HYPERLINK("http://ictvonline.org/taxonomyHistory.asp?taxnode_id=20173763","ICTVonline=20173763")</f>
        <v>ICTVonline=20173763</v>
      </c>
      <c r="L3525" s="3">
        <v>3524</v>
      </c>
    </row>
    <row r="3526" spans="1:12" x14ac:dyDescent="0.15">
      <c r="A3526" s="1" t="s">
        <v>908</v>
      </c>
      <c r="B3526" s="1" t="s">
        <v>1988</v>
      </c>
      <c r="D3526" s="1" t="s">
        <v>1135</v>
      </c>
      <c r="E3526" s="1" t="s">
        <v>6217</v>
      </c>
      <c r="F3526" s="3">
        <v>0</v>
      </c>
      <c r="G3526" s="8" t="s">
        <v>2773</v>
      </c>
      <c r="H3526" s="8" t="s">
        <v>5162</v>
      </c>
      <c r="I3526" s="3">
        <v>32</v>
      </c>
      <c r="J3526" s="3" t="s">
        <v>5564</v>
      </c>
      <c r="K3526" s="17" t="str">
        <f>HYPERLINK("http://ictvonline.org/taxonomyHistory.asp?taxnode_id=20173765","ICTVonline=20173765")</f>
        <v>ICTVonline=20173765</v>
      </c>
      <c r="L3526" s="3">
        <v>3525</v>
      </c>
    </row>
    <row r="3527" spans="1:12" x14ac:dyDescent="0.15">
      <c r="A3527" s="1" t="s">
        <v>908</v>
      </c>
      <c r="B3527" s="1" t="s">
        <v>1988</v>
      </c>
      <c r="D3527" s="1" t="s">
        <v>1135</v>
      </c>
      <c r="E3527" s="1" t="s">
        <v>6218</v>
      </c>
      <c r="F3527" s="3">
        <v>0</v>
      </c>
      <c r="G3527" s="8" t="s">
        <v>2773</v>
      </c>
      <c r="H3527" s="8" t="s">
        <v>5162</v>
      </c>
      <c r="I3527" s="3">
        <v>32</v>
      </c>
      <c r="J3527" s="3" t="s">
        <v>5564</v>
      </c>
      <c r="K3527" s="17" t="str">
        <f>HYPERLINK("http://ictvonline.org/taxonomyHistory.asp?taxnode_id=20173766","ICTVonline=20173766")</f>
        <v>ICTVonline=20173766</v>
      </c>
      <c r="L3527" s="3">
        <v>3526</v>
      </c>
    </row>
    <row r="3528" spans="1:12" x14ac:dyDescent="0.15">
      <c r="A3528" s="1" t="s">
        <v>908</v>
      </c>
      <c r="B3528" s="1" t="s">
        <v>1988</v>
      </c>
      <c r="D3528" s="1" t="s">
        <v>1135</v>
      </c>
      <c r="E3528" s="1" t="s">
        <v>6219</v>
      </c>
      <c r="F3528" s="3">
        <v>0</v>
      </c>
      <c r="G3528" s="8" t="s">
        <v>2773</v>
      </c>
      <c r="H3528" s="8" t="s">
        <v>5162</v>
      </c>
      <c r="I3528" s="3">
        <v>32</v>
      </c>
      <c r="J3528" s="3" t="s">
        <v>5564</v>
      </c>
      <c r="K3528" s="17" t="str">
        <f>HYPERLINK("http://ictvonline.org/taxonomyHistory.asp?taxnode_id=20173767","ICTVonline=20173767")</f>
        <v>ICTVonline=20173767</v>
      </c>
      <c r="L3528" s="3">
        <v>3527</v>
      </c>
    </row>
    <row r="3529" spans="1:12" x14ac:dyDescent="0.15">
      <c r="A3529" s="1" t="s">
        <v>908</v>
      </c>
      <c r="B3529" s="1" t="s">
        <v>1988</v>
      </c>
      <c r="D3529" s="1" t="s">
        <v>1135</v>
      </c>
      <c r="E3529" s="1" t="s">
        <v>6220</v>
      </c>
      <c r="F3529" s="3">
        <v>0</v>
      </c>
      <c r="G3529" s="8" t="s">
        <v>2773</v>
      </c>
      <c r="H3529" s="8" t="s">
        <v>5162</v>
      </c>
      <c r="I3529" s="3">
        <v>32</v>
      </c>
      <c r="J3529" s="3" t="s">
        <v>5564</v>
      </c>
      <c r="K3529" s="17" t="str">
        <f>HYPERLINK("http://ictvonline.org/taxonomyHistory.asp?taxnode_id=20173768","ICTVonline=20173768")</f>
        <v>ICTVonline=20173768</v>
      </c>
      <c r="L3529" s="3">
        <v>3528</v>
      </c>
    </row>
    <row r="3530" spans="1:12" x14ac:dyDescent="0.15">
      <c r="A3530" s="1" t="s">
        <v>908</v>
      </c>
      <c r="B3530" s="1" t="s">
        <v>1988</v>
      </c>
      <c r="D3530" s="1" t="s">
        <v>1135</v>
      </c>
      <c r="E3530" s="1" t="s">
        <v>6221</v>
      </c>
      <c r="F3530" s="3">
        <v>1</v>
      </c>
      <c r="G3530" s="8" t="s">
        <v>2773</v>
      </c>
      <c r="H3530" s="8" t="s">
        <v>5162</v>
      </c>
      <c r="I3530" s="3">
        <v>32</v>
      </c>
      <c r="J3530" s="3" t="s">
        <v>5564</v>
      </c>
      <c r="K3530" s="17" t="str">
        <f>HYPERLINK("http://ictvonline.org/taxonomyHistory.asp?taxnode_id=20173769","ICTVonline=20173769")</f>
        <v>ICTVonline=20173769</v>
      </c>
      <c r="L3530" s="3">
        <v>3529</v>
      </c>
    </row>
    <row r="3531" spans="1:12" x14ac:dyDescent="0.15">
      <c r="A3531" s="1" t="s">
        <v>908</v>
      </c>
      <c r="B3531" s="1" t="s">
        <v>1988</v>
      </c>
      <c r="D3531" s="1" t="s">
        <v>1135</v>
      </c>
      <c r="E3531" s="1" t="s">
        <v>1645</v>
      </c>
      <c r="F3531" s="3">
        <v>0</v>
      </c>
      <c r="G3531" s="8" t="s">
        <v>2773</v>
      </c>
      <c r="H3531" s="8" t="s">
        <v>5161</v>
      </c>
      <c r="I3531" s="3">
        <v>22</v>
      </c>
      <c r="J3531" s="3" t="s">
        <v>6222</v>
      </c>
      <c r="K3531" s="17" t="str">
        <f>HYPERLINK("http://ictvonline.org/taxonomyHistory.asp?taxnode_id=20173770","ICTVonline=20173770")</f>
        <v>ICTVonline=20173770</v>
      </c>
      <c r="L3531" s="3">
        <v>3530</v>
      </c>
    </row>
    <row r="3532" spans="1:12" x14ac:dyDescent="0.15">
      <c r="A3532" s="1" t="s">
        <v>908</v>
      </c>
      <c r="B3532" s="1" t="s">
        <v>1988</v>
      </c>
      <c r="D3532" s="1" t="s">
        <v>1135</v>
      </c>
      <c r="E3532" s="1" t="s">
        <v>548</v>
      </c>
      <c r="F3532" s="3">
        <v>0</v>
      </c>
      <c r="G3532" s="8" t="s">
        <v>2773</v>
      </c>
      <c r="H3532" s="8" t="s">
        <v>5159</v>
      </c>
      <c r="I3532" s="3">
        <v>25</v>
      </c>
      <c r="J3532" s="3" t="s">
        <v>6223</v>
      </c>
      <c r="K3532" s="17" t="str">
        <f>HYPERLINK("http://ictvonline.org/taxonomyHistory.asp?taxnode_id=20173771","ICTVonline=20173771")</f>
        <v>ICTVonline=20173771</v>
      </c>
      <c r="L3532" s="3">
        <v>3531</v>
      </c>
    </row>
    <row r="3533" spans="1:12" x14ac:dyDescent="0.15">
      <c r="A3533" s="1" t="s">
        <v>908</v>
      </c>
      <c r="B3533" s="1" t="s">
        <v>1988</v>
      </c>
      <c r="D3533" s="1" t="s">
        <v>1135</v>
      </c>
      <c r="E3533" s="1" t="s">
        <v>1136</v>
      </c>
      <c r="F3533" s="3">
        <v>0</v>
      </c>
      <c r="G3533" s="8" t="s">
        <v>2773</v>
      </c>
      <c r="H3533" s="8" t="s">
        <v>5161</v>
      </c>
      <c r="I3533" s="3">
        <v>22</v>
      </c>
      <c r="J3533" s="3" t="s">
        <v>6222</v>
      </c>
      <c r="K3533" s="17" t="str">
        <f>HYPERLINK("http://ictvonline.org/taxonomyHistory.asp?taxnode_id=20173772","ICTVonline=20173772")</f>
        <v>ICTVonline=20173772</v>
      </c>
      <c r="L3533" s="3">
        <v>3532</v>
      </c>
    </row>
    <row r="3534" spans="1:12" x14ac:dyDescent="0.15">
      <c r="A3534" s="1" t="s">
        <v>908</v>
      </c>
      <c r="B3534" s="1" t="s">
        <v>1988</v>
      </c>
      <c r="D3534" s="1" t="s">
        <v>1647</v>
      </c>
      <c r="E3534" s="1" t="s">
        <v>1648</v>
      </c>
      <c r="F3534" s="3">
        <v>0</v>
      </c>
      <c r="G3534" s="8" t="s">
        <v>2773</v>
      </c>
      <c r="H3534" s="8" t="s">
        <v>5159</v>
      </c>
      <c r="I3534" s="3">
        <v>20</v>
      </c>
      <c r="J3534" s="3" t="s">
        <v>5628</v>
      </c>
      <c r="K3534" s="17" t="str">
        <f>HYPERLINK("http://ictvonline.org/taxonomyHistory.asp?taxnode_id=20173774","ICTVonline=20173774")</f>
        <v>ICTVonline=20173774</v>
      </c>
      <c r="L3534" s="3">
        <v>3533</v>
      </c>
    </row>
    <row r="3535" spans="1:12" x14ac:dyDescent="0.15">
      <c r="A3535" s="1" t="s">
        <v>908</v>
      </c>
      <c r="B3535" s="1" t="s">
        <v>1988</v>
      </c>
      <c r="D3535" s="1" t="s">
        <v>1647</v>
      </c>
      <c r="E3535" s="1" t="s">
        <v>1993</v>
      </c>
      <c r="F3535" s="3">
        <v>0</v>
      </c>
      <c r="G3535" s="8" t="s">
        <v>2773</v>
      </c>
      <c r="H3535" s="8" t="s">
        <v>5159</v>
      </c>
      <c r="I3535" s="3">
        <v>17</v>
      </c>
      <c r="J3535" s="3" t="s">
        <v>5970</v>
      </c>
      <c r="K3535" s="17" t="str">
        <f>HYPERLINK("http://ictvonline.org/taxonomyHistory.asp?taxnode_id=20173775","ICTVonline=20173775")</f>
        <v>ICTVonline=20173775</v>
      </c>
      <c r="L3535" s="3">
        <v>3534</v>
      </c>
    </row>
    <row r="3536" spans="1:12" x14ac:dyDescent="0.15">
      <c r="A3536" s="1" t="s">
        <v>908</v>
      </c>
      <c r="B3536" s="1" t="s">
        <v>1988</v>
      </c>
      <c r="D3536" s="1" t="s">
        <v>1647</v>
      </c>
      <c r="E3536" s="1" t="s">
        <v>1649</v>
      </c>
      <c r="F3536" s="3">
        <v>0</v>
      </c>
      <c r="G3536" s="8" t="s">
        <v>2773</v>
      </c>
      <c r="H3536" s="8" t="s">
        <v>5161</v>
      </c>
      <c r="I3536" s="3">
        <v>17</v>
      </c>
      <c r="J3536" s="3" t="s">
        <v>5970</v>
      </c>
      <c r="K3536" s="17" t="str">
        <f>HYPERLINK("http://ictvonline.org/taxonomyHistory.asp?taxnode_id=20173776","ICTVonline=20173776")</f>
        <v>ICTVonline=20173776</v>
      </c>
      <c r="L3536" s="3">
        <v>3535</v>
      </c>
    </row>
    <row r="3537" spans="1:12" x14ac:dyDescent="0.15">
      <c r="A3537" s="1" t="s">
        <v>908</v>
      </c>
      <c r="B3537" s="1" t="s">
        <v>1988</v>
      </c>
      <c r="D3537" s="1" t="s">
        <v>1647</v>
      </c>
      <c r="E3537" s="1" t="s">
        <v>1650</v>
      </c>
      <c r="F3537" s="3">
        <v>0</v>
      </c>
      <c r="G3537" s="8" t="s">
        <v>2773</v>
      </c>
      <c r="H3537" s="8" t="s">
        <v>5161</v>
      </c>
      <c r="I3537" s="3">
        <v>24</v>
      </c>
      <c r="J3537" s="3" t="s">
        <v>6224</v>
      </c>
      <c r="K3537" s="17" t="str">
        <f>HYPERLINK("http://ictvonline.org/taxonomyHistory.asp?taxnode_id=20173777","ICTVonline=20173777")</f>
        <v>ICTVonline=20173777</v>
      </c>
      <c r="L3537" s="3">
        <v>3536</v>
      </c>
    </row>
    <row r="3538" spans="1:12" x14ac:dyDescent="0.15">
      <c r="A3538" s="1" t="s">
        <v>908</v>
      </c>
      <c r="B3538" s="1" t="s">
        <v>1988</v>
      </c>
      <c r="D3538" s="1" t="s">
        <v>1647</v>
      </c>
      <c r="E3538" s="1" t="s">
        <v>6225</v>
      </c>
      <c r="F3538" s="3">
        <v>0</v>
      </c>
      <c r="G3538" s="8" t="s">
        <v>2773</v>
      </c>
      <c r="H3538" s="8" t="s">
        <v>5162</v>
      </c>
      <c r="I3538" s="3">
        <v>32</v>
      </c>
      <c r="J3538" s="3" t="s">
        <v>5564</v>
      </c>
      <c r="K3538" s="17" t="str">
        <f>HYPERLINK("http://ictvonline.org/taxonomyHistory.asp?taxnode_id=20173778","ICTVonline=20173778")</f>
        <v>ICTVonline=20173778</v>
      </c>
      <c r="L3538" s="3">
        <v>3537</v>
      </c>
    </row>
    <row r="3539" spans="1:12" x14ac:dyDescent="0.15">
      <c r="A3539" s="1" t="s">
        <v>908</v>
      </c>
      <c r="B3539" s="1" t="s">
        <v>1988</v>
      </c>
      <c r="D3539" s="1" t="s">
        <v>1647</v>
      </c>
      <c r="E3539" s="1" t="s">
        <v>6226</v>
      </c>
      <c r="F3539" s="3">
        <v>0</v>
      </c>
      <c r="G3539" s="8" t="s">
        <v>2773</v>
      </c>
      <c r="H3539" s="8" t="s">
        <v>5162</v>
      </c>
      <c r="I3539" s="3">
        <v>32</v>
      </c>
      <c r="J3539" s="3" t="s">
        <v>5564</v>
      </c>
      <c r="K3539" s="17" t="str">
        <f>HYPERLINK("http://ictvonline.org/taxonomyHistory.asp?taxnode_id=20173779","ICTVonline=20173779")</f>
        <v>ICTVonline=20173779</v>
      </c>
      <c r="L3539" s="3">
        <v>3538</v>
      </c>
    </row>
    <row r="3540" spans="1:12" x14ac:dyDescent="0.15">
      <c r="A3540" s="1" t="s">
        <v>908</v>
      </c>
      <c r="B3540" s="1" t="s">
        <v>1988</v>
      </c>
      <c r="D3540" s="1" t="s">
        <v>1647</v>
      </c>
      <c r="E3540" s="1" t="s">
        <v>549</v>
      </c>
      <c r="F3540" s="3">
        <v>0</v>
      </c>
      <c r="G3540" s="8" t="s">
        <v>2773</v>
      </c>
      <c r="H3540" s="8" t="s">
        <v>5159</v>
      </c>
      <c r="I3540" s="3">
        <v>25</v>
      </c>
      <c r="J3540" s="3" t="s">
        <v>6223</v>
      </c>
      <c r="K3540" s="17" t="str">
        <f>HYPERLINK("http://ictvonline.org/taxonomyHistory.asp?taxnode_id=20173780","ICTVonline=20173780")</f>
        <v>ICTVonline=20173780</v>
      </c>
      <c r="L3540" s="3">
        <v>3539</v>
      </c>
    </row>
    <row r="3541" spans="1:12" x14ac:dyDescent="0.15">
      <c r="A3541" s="1" t="s">
        <v>908</v>
      </c>
      <c r="B3541" s="1" t="s">
        <v>1988</v>
      </c>
      <c r="D3541" s="1" t="s">
        <v>1647</v>
      </c>
      <c r="E3541" s="1" t="s">
        <v>2492</v>
      </c>
      <c r="F3541" s="3">
        <v>0</v>
      </c>
      <c r="G3541" s="8" t="s">
        <v>2773</v>
      </c>
      <c r="H3541" s="8" t="s">
        <v>5159</v>
      </c>
      <c r="I3541" s="3">
        <v>28</v>
      </c>
      <c r="J3541" s="3" t="s">
        <v>6227</v>
      </c>
      <c r="K3541" s="17" t="str">
        <f>HYPERLINK("http://ictvonline.org/taxonomyHistory.asp?taxnode_id=20173781","ICTVonline=20173781")</f>
        <v>ICTVonline=20173781</v>
      </c>
      <c r="L3541" s="3">
        <v>3540</v>
      </c>
    </row>
    <row r="3542" spans="1:12" x14ac:dyDescent="0.15">
      <c r="A3542" s="1" t="s">
        <v>908</v>
      </c>
      <c r="B3542" s="1" t="s">
        <v>1988</v>
      </c>
      <c r="D3542" s="1" t="s">
        <v>1647</v>
      </c>
      <c r="E3542" s="1" t="s">
        <v>1651</v>
      </c>
      <c r="F3542" s="3">
        <v>0</v>
      </c>
      <c r="G3542" s="8" t="s">
        <v>2773</v>
      </c>
      <c r="H3542" s="8" t="s">
        <v>5159</v>
      </c>
      <c r="I3542" s="3">
        <v>17</v>
      </c>
      <c r="J3542" s="3" t="s">
        <v>5970</v>
      </c>
      <c r="K3542" s="17" t="str">
        <f>HYPERLINK("http://ictvonline.org/taxonomyHistory.asp?taxnode_id=20173782","ICTVonline=20173782")</f>
        <v>ICTVonline=20173782</v>
      </c>
      <c r="L3542" s="3">
        <v>3541</v>
      </c>
    </row>
    <row r="3543" spans="1:12" x14ac:dyDescent="0.15">
      <c r="A3543" s="1" t="s">
        <v>908</v>
      </c>
      <c r="B3543" s="1" t="s">
        <v>1988</v>
      </c>
      <c r="D3543" s="1" t="s">
        <v>1647</v>
      </c>
      <c r="E3543" s="1" t="s">
        <v>6228</v>
      </c>
      <c r="F3543" s="3">
        <v>0</v>
      </c>
      <c r="G3543" s="8" t="s">
        <v>2773</v>
      </c>
      <c r="H3543" s="8" t="s">
        <v>5162</v>
      </c>
      <c r="I3543" s="3">
        <v>32</v>
      </c>
      <c r="J3543" s="3" t="s">
        <v>5564</v>
      </c>
      <c r="K3543" s="17" t="str">
        <f>HYPERLINK("http://ictvonline.org/taxonomyHistory.asp?taxnode_id=20173783","ICTVonline=20173783")</f>
        <v>ICTVonline=20173783</v>
      </c>
      <c r="L3543" s="3">
        <v>3542</v>
      </c>
    </row>
    <row r="3544" spans="1:12" x14ac:dyDescent="0.15">
      <c r="A3544" s="1" t="s">
        <v>908</v>
      </c>
      <c r="B3544" s="1" t="s">
        <v>1988</v>
      </c>
      <c r="D3544" s="1" t="s">
        <v>1647</v>
      </c>
      <c r="E3544" s="1" t="s">
        <v>6229</v>
      </c>
      <c r="F3544" s="3">
        <v>0</v>
      </c>
      <c r="G3544" s="8" t="s">
        <v>2773</v>
      </c>
      <c r="H3544" s="8" t="s">
        <v>5159</v>
      </c>
      <c r="I3544" s="3">
        <v>32</v>
      </c>
      <c r="J3544" s="3" t="s">
        <v>6230</v>
      </c>
      <c r="K3544" s="17" t="str">
        <f>HYPERLINK("http://ictvonline.org/taxonomyHistory.asp?taxnode_id=20175862","ICTVonline=20175862")</f>
        <v>ICTVonline=20175862</v>
      </c>
      <c r="L3544" s="3">
        <v>3543</v>
      </c>
    </row>
    <row r="3545" spans="1:12" x14ac:dyDescent="0.15">
      <c r="A3545" s="1" t="s">
        <v>908</v>
      </c>
      <c r="B3545" s="1" t="s">
        <v>1988</v>
      </c>
      <c r="D3545" s="1" t="s">
        <v>1647</v>
      </c>
      <c r="E3545" s="1" t="s">
        <v>550</v>
      </c>
      <c r="F3545" s="3">
        <v>0</v>
      </c>
      <c r="G3545" s="8" t="s">
        <v>2773</v>
      </c>
      <c r="H3545" s="8" t="s">
        <v>5159</v>
      </c>
      <c r="I3545" s="3">
        <v>25</v>
      </c>
      <c r="J3545" s="3" t="s">
        <v>6223</v>
      </c>
      <c r="K3545" s="17" t="str">
        <f>HYPERLINK("http://ictvonline.org/taxonomyHistory.asp?taxnode_id=20173784","ICTVonline=20173784")</f>
        <v>ICTVonline=20173784</v>
      </c>
      <c r="L3545" s="3">
        <v>3544</v>
      </c>
    </row>
    <row r="3546" spans="1:12" x14ac:dyDescent="0.15">
      <c r="A3546" s="1" t="s">
        <v>908</v>
      </c>
      <c r="B3546" s="1" t="s">
        <v>1988</v>
      </c>
      <c r="D3546" s="1" t="s">
        <v>1647</v>
      </c>
      <c r="E3546" s="1" t="s">
        <v>6231</v>
      </c>
      <c r="F3546" s="3">
        <v>0</v>
      </c>
      <c r="G3546" s="8" t="s">
        <v>2773</v>
      </c>
      <c r="H3546" s="8" t="s">
        <v>5159</v>
      </c>
      <c r="I3546" s="3">
        <v>32</v>
      </c>
      <c r="J3546" s="3" t="s">
        <v>6232</v>
      </c>
      <c r="K3546" s="17" t="str">
        <f>HYPERLINK("http://ictvonline.org/taxonomyHistory.asp?taxnode_id=20175863","ICTVonline=20175863")</f>
        <v>ICTVonline=20175863</v>
      </c>
      <c r="L3546" s="3">
        <v>3545</v>
      </c>
    </row>
    <row r="3547" spans="1:12" x14ac:dyDescent="0.15">
      <c r="A3547" s="1" t="s">
        <v>908</v>
      </c>
      <c r="B3547" s="1" t="s">
        <v>1988</v>
      </c>
      <c r="D3547" s="1" t="s">
        <v>1647</v>
      </c>
      <c r="E3547" s="1" t="s">
        <v>2493</v>
      </c>
      <c r="F3547" s="3">
        <v>0</v>
      </c>
      <c r="G3547" s="8" t="s">
        <v>2773</v>
      </c>
      <c r="H3547" s="8" t="s">
        <v>5159</v>
      </c>
      <c r="I3547" s="3">
        <v>28</v>
      </c>
      <c r="J3547" s="3" t="s">
        <v>6227</v>
      </c>
      <c r="K3547" s="17" t="str">
        <f>HYPERLINK("http://ictvonline.org/taxonomyHistory.asp?taxnode_id=20173785","ICTVonline=20173785")</f>
        <v>ICTVonline=20173785</v>
      </c>
      <c r="L3547" s="3">
        <v>3546</v>
      </c>
    </row>
    <row r="3548" spans="1:12" x14ac:dyDescent="0.15">
      <c r="A3548" s="1" t="s">
        <v>908</v>
      </c>
      <c r="B3548" s="1" t="s">
        <v>1988</v>
      </c>
      <c r="D3548" s="1" t="s">
        <v>1647</v>
      </c>
      <c r="E3548" s="1" t="s">
        <v>1652</v>
      </c>
      <c r="F3548" s="3">
        <v>1</v>
      </c>
      <c r="G3548" s="8" t="s">
        <v>2773</v>
      </c>
      <c r="H3548" s="8" t="s">
        <v>5169</v>
      </c>
      <c r="I3548" s="3">
        <v>18</v>
      </c>
      <c r="J3548" s="3" t="s">
        <v>5597</v>
      </c>
      <c r="K3548" s="17" t="str">
        <f>HYPERLINK("http://ictvonline.org/taxonomyHistory.asp?taxnode_id=20173786","ICTVonline=20173786")</f>
        <v>ICTVonline=20173786</v>
      </c>
      <c r="L3548" s="3">
        <v>3547</v>
      </c>
    </row>
    <row r="3549" spans="1:12" x14ac:dyDescent="0.15">
      <c r="A3549" s="1" t="s">
        <v>908</v>
      </c>
      <c r="B3549" s="1" t="s">
        <v>1988</v>
      </c>
      <c r="D3549" s="1" t="s">
        <v>1647</v>
      </c>
      <c r="E3549" s="1" t="s">
        <v>2494</v>
      </c>
      <c r="F3549" s="3">
        <v>0</v>
      </c>
      <c r="G3549" s="8" t="s">
        <v>2773</v>
      </c>
      <c r="H3549" s="8" t="s">
        <v>5159</v>
      </c>
      <c r="I3549" s="3">
        <v>28</v>
      </c>
      <c r="J3549" s="3" t="s">
        <v>6227</v>
      </c>
      <c r="K3549" s="17" t="str">
        <f>HYPERLINK("http://ictvonline.org/taxonomyHistory.asp?taxnode_id=20173787","ICTVonline=20173787")</f>
        <v>ICTVonline=20173787</v>
      </c>
      <c r="L3549" s="3">
        <v>3548</v>
      </c>
    </row>
    <row r="3550" spans="1:12" x14ac:dyDescent="0.15">
      <c r="A3550" s="1" t="s">
        <v>908</v>
      </c>
      <c r="B3550" s="1" t="s">
        <v>1988</v>
      </c>
      <c r="D3550" s="1" t="s">
        <v>1647</v>
      </c>
      <c r="E3550" s="1" t="s">
        <v>1653</v>
      </c>
      <c r="F3550" s="3">
        <v>0</v>
      </c>
      <c r="G3550" s="8" t="s">
        <v>2773</v>
      </c>
      <c r="H3550" s="8" t="s">
        <v>5161</v>
      </c>
      <c r="I3550" s="3">
        <v>22</v>
      </c>
      <c r="J3550" s="3" t="s">
        <v>6233</v>
      </c>
      <c r="K3550" s="17" t="str">
        <f>HYPERLINK("http://ictvonline.org/taxonomyHistory.asp?taxnode_id=20173788","ICTVonline=20173788")</f>
        <v>ICTVonline=20173788</v>
      </c>
      <c r="L3550" s="3">
        <v>3549</v>
      </c>
    </row>
    <row r="3551" spans="1:12" x14ac:dyDescent="0.15">
      <c r="A3551" s="1" t="s">
        <v>908</v>
      </c>
      <c r="B3551" s="1" t="s">
        <v>1988</v>
      </c>
      <c r="D3551" s="1" t="s">
        <v>1647</v>
      </c>
      <c r="E3551" s="1" t="s">
        <v>1656</v>
      </c>
      <c r="F3551" s="3">
        <v>0</v>
      </c>
      <c r="G3551" s="8" t="s">
        <v>2773</v>
      </c>
      <c r="H3551" s="8" t="s">
        <v>5161</v>
      </c>
      <c r="I3551" s="3">
        <v>25</v>
      </c>
      <c r="J3551" s="3" t="s">
        <v>6223</v>
      </c>
      <c r="K3551" s="17" t="str">
        <f>HYPERLINK("http://ictvonline.org/taxonomyHistory.asp?taxnode_id=20173789","ICTVonline=20173789")</f>
        <v>ICTVonline=20173789</v>
      </c>
      <c r="L3551" s="3">
        <v>3550</v>
      </c>
    </row>
    <row r="3552" spans="1:12" x14ac:dyDescent="0.15">
      <c r="A3552" s="1" t="s">
        <v>908</v>
      </c>
      <c r="B3552" s="1" t="s">
        <v>1988</v>
      </c>
      <c r="D3552" s="1" t="s">
        <v>1647</v>
      </c>
      <c r="E3552" s="1" t="s">
        <v>1654</v>
      </c>
      <c r="F3552" s="3">
        <v>0</v>
      </c>
      <c r="G3552" s="8" t="s">
        <v>2773</v>
      </c>
      <c r="H3552" s="8" t="s">
        <v>5159</v>
      </c>
      <c r="I3552" s="3">
        <v>21</v>
      </c>
      <c r="J3552" s="3" t="s">
        <v>6234</v>
      </c>
      <c r="K3552" s="17" t="str">
        <f>HYPERLINK("http://ictvonline.org/taxonomyHistory.asp?taxnode_id=20173790","ICTVonline=20173790")</f>
        <v>ICTVonline=20173790</v>
      </c>
      <c r="L3552" s="3">
        <v>3551</v>
      </c>
    </row>
    <row r="3553" spans="1:12" x14ac:dyDescent="0.15">
      <c r="A3553" s="1" t="s">
        <v>908</v>
      </c>
      <c r="B3553" s="1" t="s">
        <v>1988</v>
      </c>
      <c r="D3553" s="1" t="s">
        <v>908</v>
      </c>
      <c r="E3553" s="1" t="s">
        <v>6235</v>
      </c>
      <c r="F3553" s="3">
        <v>0</v>
      </c>
      <c r="G3553" s="8" t="s">
        <v>2773</v>
      </c>
      <c r="H3553" s="8" t="s">
        <v>5162</v>
      </c>
      <c r="I3553" s="3">
        <v>32</v>
      </c>
      <c r="J3553" s="3" t="s">
        <v>5564</v>
      </c>
      <c r="K3553" s="17" t="str">
        <f>HYPERLINK("http://ictvonline.org/taxonomyHistory.asp?taxnode_id=20173792","ICTVonline=20173792")</f>
        <v>ICTVonline=20173792</v>
      </c>
      <c r="L3553" s="3">
        <v>3552</v>
      </c>
    </row>
    <row r="3554" spans="1:12" x14ac:dyDescent="0.15">
      <c r="A3554" s="1" t="s">
        <v>908</v>
      </c>
      <c r="B3554" s="1" t="s">
        <v>1988</v>
      </c>
      <c r="D3554" s="1" t="s">
        <v>908</v>
      </c>
      <c r="E3554" s="1" t="s">
        <v>6236</v>
      </c>
      <c r="F3554" s="3">
        <v>0</v>
      </c>
      <c r="G3554" s="8" t="s">
        <v>2773</v>
      </c>
      <c r="H3554" s="8" t="s">
        <v>5162</v>
      </c>
      <c r="I3554" s="3">
        <v>32</v>
      </c>
      <c r="J3554" s="3" t="s">
        <v>5564</v>
      </c>
      <c r="K3554" s="17" t="str">
        <f>HYPERLINK("http://ictvonline.org/taxonomyHistory.asp?taxnode_id=20173793","ICTVonline=20173793")</f>
        <v>ICTVonline=20173793</v>
      </c>
      <c r="L3554" s="3">
        <v>3553</v>
      </c>
    </row>
    <row r="3555" spans="1:12" x14ac:dyDescent="0.15">
      <c r="A3555" s="1" t="s">
        <v>908</v>
      </c>
      <c r="B3555" s="1" t="s">
        <v>1988</v>
      </c>
      <c r="D3555" s="1" t="s">
        <v>908</v>
      </c>
      <c r="E3555" s="1" t="s">
        <v>1137</v>
      </c>
      <c r="F3555" s="3">
        <v>0</v>
      </c>
      <c r="G3555" s="8" t="s">
        <v>2773</v>
      </c>
      <c r="H3555" s="8" t="s">
        <v>5162</v>
      </c>
      <c r="I3555" s="3">
        <v>18</v>
      </c>
      <c r="J3555" s="3" t="s">
        <v>5597</v>
      </c>
      <c r="K3555" s="17" t="str">
        <f>HYPERLINK("http://ictvonline.org/taxonomyHistory.asp?taxnode_id=20173794","ICTVonline=20173794")</f>
        <v>ICTVonline=20173794</v>
      </c>
      <c r="L3555" s="3">
        <v>3554</v>
      </c>
    </row>
    <row r="3556" spans="1:12" x14ac:dyDescent="0.15">
      <c r="A3556" s="1" t="s">
        <v>908</v>
      </c>
      <c r="B3556" s="1" t="s">
        <v>1988</v>
      </c>
      <c r="D3556" s="1" t="s">
        <v>908</v>
      </c>
      <c r="E3556" s="1" t="s">
        <v>1995</v>
      </c>
      <c r="F3556" s="3">
        <v>0</v>
      </c>
      <c r="G3556" s="8" t="s">
        <v>2773</v>
      </c>
      <c r="H3556" s="8" t="s">
        <v>5161</v>
      </c>
      <c r="I3556" s="3">
        <v>17</v>
      </c>
      <c r="J3556" s="3" t="s">
        <v>5970</v>
      </c>
      <c r="K3556" s="17" t="str">
        <f>HYPERLINK("http://ictvonline.org/taxonomyHistory.asp?taxnode_id=20173795","ICTVonline=20173795")</f>
        <v>ICTVonline=20173795</v>
      </c>
      <c r="L3556" s="3">
        <v>3555</v>
      </c>
    </row>
    <row r="3557" spans="1:12" x14ac:dyDescent="0.15">
      <c r="A3557" s="1" t="s">
        <v>908</v>
      </c>
      <c r="B3557" s="1" t="s">
        <v>1988</v>
      </c>
      <c r="D3557" s="1" t="s">
        <v>908</v>
      </c>
      <c r="E3557" s="1" t="s">
        <v>1996</v>
      </c>
      <c r="F3557" s="3">
        <v>0</v>
      </c>
      <c r="G3557" s="8" t="s">
        <v>2773</v>
      </c>
      <c r="H3557" s="8" t="s">
        <v>5161</v>
      </c>
      <c r="I3557" s="3">
        <v>17</v>
      </c>
      <c r="J3557" s="3" t="s">
        <v>5970</v>
      </c>
      <c r="K3557" s="17" t="str">
        <f>HYPERLINK("http://ictvonline.org/taxonomyHistory.asp?taxnode_id=20173796","ICTVonline=20173796")</f>
        <v>ICTVonline=20173796</v>
      </c>
      <c r="L3557" s="3">
        <v>3556</v>
      </c>
    </row>
    <row r="3558" spans="1:12" x14ac:dyDescent="0.15">
      <c r="A3558" s="1" t="s">
        <v>908</v>
      </c>
      <c r="B3558" s="1" t="s">
        <v>1988</v>
      </c>
      <c r="D3558" s="1" t="s">
        <v>908</v>
      </c>
      <c r="E3558" s="1" t="s">
        <v>1997</v>
      </c>
      <c r="F3558" s="3">
        <v>0</v>
      </c>
      <c r="G3558" s="8" t="s">
        <v>2773</v>
      </c>
      <c r="H3558" s="8" t="s">
        <v>5159</v>
      </c>
      <c r="I3558" s="3">
        <v>17</v>
      </c>
      <c r="J3558" s="3" t="s">
        <v>5970</v>
      </c>
      <c r="K3558" s="17" t="str">
        <f>HYPERLINK("http://ictvonline.org/taxonomyHistory.asp?taxnode_id=20173797","ICTVonline=20173797")</f>
        <v>ICTVonline=20173797</v>
      </c>
      <c r="L3558" s="3">
        <v>3557</v>
      </c>
    </row>
    <row r="3559" spans="1:12" x14ac:dyDescent="0.15">
      <c r="A3559" s="1" t="s">
        <v>908</v>
      </c>
      <c r="B3559" s="1" t="s">
        <v>1988</v>
      </c>
      <c r="D3559" s="1" t="s">
        <v>908</v>
      </c>
      <c r="E3559" s="1" t="s">
        <v>1998</v>
      </c>
      <c r="F3559" s="3">
        <v>0</v>
      </c>
      <c r="G3559" s="8" t="s">
        <v>2773</v>
      </c>
      <c r="H3559" s="8" t="s">
        <v>5161</v>
      </c>
      <c r="I3559" s="3">
        <v>18</v>
      </c>
      <c r="J3559" s="3" t="s">
        <v>5597</v>
      </c>
      <c r="K3559" s="17" t="str">
        <f>HYPERLINK("http://ictvonline.org/taxonomyHistory.asp?taxnode_id=20173798","ICTVonline=20173798")</f>
        <v>ICTVonline=20173798</v>
      </c>
      <c r="L3559" s="3">
        <v>3558</v>
      </c>
    </row>
    <row r="3560" spans="1:12" x14ac:dyDescent="0.15">
      <c r="A3560" s="1" t="s">
        <v>908</v>
      </c>
      <c r="B3560" s="1" t="s">
        <v>2495</v>
      </c>
      <c r="D3560" s="1" t="s">
        <v>2496</v>
      </c>
      <c r="E3560" s="1" t="s">
        <v>2497</v>
      </c>
      <c r="F3560" s="3">
        <v>1</v>
      </c>
      <c r="G3560" s="8" t="s">
        <v>2771</v>
      </c>
      <c r="H3560" s="8" t="s">
        <v>5159</v>
      </c>
      <c r="I3560" s="3">
        <v>28</v>
      </c>
      <c r="J3560" s="3" t="s">
        <v>6237</v>
      </c>
      <c r="K3560" s="17" t="str">
        <f>HYPERLINK("http://ictvonline.org/taxonomyHistory.asp?taxnode_id=20173802","ICTVonline=20173802")</f>
        <v>ICTVonline=20173802</v>
      </c>
      <c r="L3560" s="3">
        <v>3559</v>
      </c>
    </row>
    <row r="3561" spans="1:12" x14ac:dyDescent="0.15">
      <c r="A3561" s="1" t="s">
        <v>908</v>
      </c>
      <c r="B3561" s="1" t="s">
        <v>2495</v>
      </c>
      <c r="D3561" s="1" t="s">
        <v>2496</v>
      </c>
      <c r="E3561" s="1" t="s">
        <v>2498</v>
      </c>
      <c r="F3561" s="3">
        <v>0</v>
      </c>
      <c r="G3561" s="8" t="s">
        <v>2771</v>
      </c>
      <c r="H3561" s="8" t="s">
        <v>5159</v>
      </c>
      <c r="I3561" s="3">
        <v>28</v>
      </c>
      <c r="J3561" s="3" t="s">
        <v>6237</v>
      </c>
      <c r="K3561" s="17" t="str">
        <f>HYPERLINK("http://ictvonline.org/taxonomyHistory.asp?taxnode_id=20173803","ICTVonline=20173803")</f>
        <v>ICTVonline=20173803</v>
      </c>
      <c r="L3561" s="3">
        <v>3560</v>
      </c>
    </row>
    <row r="3562" spans="1:12" x14ac:dyDescent="0.15">
      <c r="A3562" s="1" t="s">
        <v>908</v>
      </c>
      <c r="B3562" s="1" t="s">
        <v>2495</v>
      </c>
      <c r="D3562" s="1" t="s">
        <v>908</v>
      </c>
      <c r="E3562" s="1" t="s">
        <v>2499</v>
      </c>
      <c r="F3562" s="3">
        <v>0</v>
      </c>
      <c r="G3562" s="8" t="s">
        <v>2771</v>
      </c>
      <c r="H3562" s="8" t="s">
        <v>5159</v>
      </c>
      <c r="I3562" s="3">
        <v>28</v>
      </c>
      <c r="J3562" s="3" t="s">
        <v>6237</v>
      </c>
      <c r="K3562" s="17" t="str">
        <f>HYPERLINK("http://ictvonline.org/taxonomyHistory.asp?taxnode_id=20173805","ICTVonline=20173805")</f>
        <v>ICTVonline=20173805</v>
      </c>
      <c r="L3562" s="3">
        <v>3561</v>
      </c>
    </row>
    <row r="3563" spans="1:12" x14ac:dyDescent="0.15">
      <c r="A3563" s="1" t="s">
        <v>908</v>
      </c>
      <c r="B3563" s="1" t="s">
        <v>2495</v>
      </c>
      <c r="D3563" s="1" t="s">
        <v>908</v>
      </c>
      <c r="E3563" s="1" t="s">
        <v>2500</v>
      </c>
      <c r="F3563" s="3">
        <v>0</v>
      </c>
      <c r="G3563" s="8" t="s">
        <v>2771</v>
      </c>
      <c r="H3563" s="8" t="s">
        <v>5159</v>
      </c>
      <c r="I3563" s="3">
        <v>28</v>
      </c>
      <c r="J3563" s="3" t="s">
        <v>6237</v>
      </c>
      <c r="K3563" s="17" t="str">
        <f>HYPERLINK("http://ictvonline.org/taxonomyHistory.asp?taxnode_id=20173806","ICTVonline=20173806")</f>
        <v>ICTVonline=20173806</v>
      </c>
      <c r="L3563" s="3">
        <v>3562</v>
      </c>
    </row>
    <row r="3564" spans="1:12" x14ac:dyDescent="0.15">
      <c r="A3564" s="1" t="s">
        <v>908</v>
      </c>
      <c r="B3564" s="1" t="s">
        <v>102</v>
      </c>
      <c r="D3564" s="1" t="s">
        <v>103</v>
      </c>
      <c r="E3564" s="1" t="s">
        <v>104</v>
      </c>
      <c r="F3564" s="3">
        <v>1</v>
      </c>
      <c r="G3564" s="8" t="s">
        <v>2776</v>
      </c>
      <c r="H3564" s="8" t="s">
        <v>5164</v>
      </c>
      <c r="I3564" s="3">
        <v>26</v>
      </c>
      <c r="J3564" s="3" t="s">
        <v>6238</v>
      </c>
      <c r="K3564" s="17" t="str">
        <f>HYPERLINK("http://ictvonline.org/taxonomyHistory.asp?taxnode_id=20173810","ICTVonline=20173810")</f>
        <v>ICTVonline=20173810</v>
      </c>
      <c r="L3564" s="3">
        <v>3563</v>
      </c>
    </row>
    <row r="3565" spans="1:12" x14ac:dyDescent="0.15">
      <c r="A3565" s="1" t="s">
        <v>908</v>
      </c>
      <c r="B3565" s="1" t="s">
        <v>1698</v>
      </c>
      <c r="C3565" s="1" t="s">
        <v>4000</v>
      </c>
      <c r="D3565" s="1" t="s">
        <v>4001</v>
      </c>
      <c r="E3565" s="1" t="s">
        <v>4002</v>
      </c>
      <c r="F3565" s="3">
        <v>1</v>
      </c>
      <c r="G3565" s="8" t="s">
        <v>3976</v>
      </c>
      <c r="H3565" s="8" t="s">
        <v>5160</v>
      </c>
      <c r="I3565" s="3">
        <v>30</v>
      </c>
      <c r="J3565" s="3" t="s">
        <v>6239</v>
      </c>
      <c r="K3565" s="17" t="str">
        <f>HYPERLINK("http://ictvonline.org/taxonomyHistory.asp?taxnode_id=20173858","ICTVonline=20173858")</f>
        <v>ICTVonline=20173858</v>
      </c>
      <c r="L3565" s="3">
        <v>3564</v>
      </c>
    </row>
    <row r="3566" spans="1:12" x14ac:dyDescent="0.15">
      <c r="A3566" s="1" t="s">
        <v>908</v>
      </c>
      <c r="B3566" s="1" t="s">
        <v>1698</v>
      </c>
      <c r="C3566" s="1" t="s">
        <v>4000</v>
      </c>
      <c r="D3566" s="1" t="s">
        <v>4001</v>
      </c>
      <c r="E3566" s="1" t="s">
        <v>4003</v>
      </c>
      <c r="F3566" s="3">
        <v>0</v>
      </c>
      <c r="G3566" s="8" t="s">
        <v>3976</v>
      </c>
      <c r="H3566" s="8" t="s">
        <v>5159</v>
      </c>
      <c r="I3566" s="3">
        <v>30</v>
      </c>
      <c r="J3566" s="3" t="s">
        <v>6239</v>
      </c>
      <c r="K3566" s="17" t="str">
        <f>HYPERLINK("http://ictvonline.org/taxonomyHistory.asp?taxnode_id=20173859","ICTVonline=20173859")</f>
        <v>ICTVonline=20173859</v>
      </c>
      <c r="L3566" s="3">
        <v>3565</v>
      </c>
    </row>
    <row r="3567" spans="1:12" x14ac:dyDescent="0.15">
      <c r="A3567" s="1" t="s">
        <v>908</v>
      </c>
      <c r="B3567" s="1" t="s">
        <v>1698</v>
      </c>
      <c r="C3567" s="1" t="s">
        <v>4000</v>
      </c>
      <c r="D3567" s="1" t="s">
        <v>4001</v>
      </c>
      <c r="E3567" s="1" t="s">
        <v>4004</v>
      </c>
      <c r="F3567" s="3">
        <v>0</v>
      </c>
      <c r="G3567" s="8" t="s">
        <v>3976</v>
      </c>
      <c r="H3567" s="8" t="s">
        <v>5159</v>
      </c>
      <c r="I3567" s="3">
        <v>30</v>
      </c>
      <c r="J3567" s="3" t="s">
        <v>6239</v>
      </c>
      <c r="K3567" s="17" t="str">
        <f>HYPERLINK("http://ictvonline.org/taxonomyHistory.asp?taxnode_id=20173860","ICTVonline=20173860")</f>
        <v>ICTVonline=20173860</v>
      </c>
      <c r="L3567" s="3">
        <v>3566</v>
      </c>
    </row>
    <row r="3568" spans="1:12" x14ac:dyDescent="0.15">
      <c r="A3568" s="1" t="s">
        <v>908</v>
      </c>
      <c r="B3568" s="1" t="s">
        <v>1698</v>
      </c>
      <c r="C3568" s="1" t="s">
        <v>4000</v>
      </c>
      <c r="D3568" s="1" t="s">
        <v>4001</v>
      </c>
      <c r="E3568" s="1" t="s">
        <v>4005</v>
      </c>
      <c r="F3568" s="3">
        <v>0</v>
      </c>
      <c r="G3568" s="8" t="s">
        <v>3976</v>
      </c>
      <c r="H3568" s="8" t="s">
        <v>5159</v>
      </c>
      <c r="I3568" s="3">
        <v>30</v>
      </c>
      <c r="J3568" s="3" t="s">
        <v>6239</v>
      </c>
      <c r="K3568" s="17" t="str">
        <f>HYPERLINK("http://ictvonline.org/taxonomyHistory.asp?taxnode_id=20173861","ICTVonline=20173861")</f>
        <v>ICTVonline=20173861</v>
      </c>
      <c r="L3568" s="3">
        <v>3567</v>
      </c>
    </row>
    <row r="3569" spans="1:12" x14ac:dyDescent="0.15">
      <c r="A3569" s="1" t="s">
        <v>908</v>
      </c>
      <c r="B3569" s="1" t="s">
        <v>1698</v>
      </c>
      <c r="C3569" s="1" t="s">
        <v>4000</v>
      </c>
      <c r="D3569" s="1" t="s">
        <v>4001</v>
      </c>
      <c r="E3569" s="1" t="s">
        <v>4006</v>
      </c>
      <c r="F3569" s="3">
        <v>0</v>
      </c>
      <c r="G3569" s="8" t="s">
        <v>3976</v>
      </c>
      <c r="H3569" s="8" t="s">
        <v>5159</v>
      </c>
      <c r="I3569" s="3">
        <v>30</v>
      </c>
      <c r="J3569" s="3" t="s">
        <v>6239</v>
      </c>
      <c r="K3569" s="17" t="str">
        <f>HYPERLINK("http://ictvonline.org/taxonomyHistory.asp?taxnode_id=20173862","ICTVonline=20173862")</f>
        <v>ICTVonline=20173862</v>
      </c>
      <c r="L3569" s="3">
        <v>3568</v>
      </c>
    </row>
    <row r="3570" spans="1:12" x14ac:dyDescent="0.15">
      <c r="A3570" s="1" t="s">
        <v>908</v>
      </c>
      <c r="B3570" s="1" t="s">
        <v>1698</v>
      </c>
      <c r="C3570" s="1" t="s">
        <v>4000</v>
      </c>
      <c r="D3570" s="1" t="s">
        <v>4001</v>
      </c>
      <c r="E3570" s="1" t="s">
        <v>4007</v>
      </c>
      <c r="F3570" s="3">
        <v>0</v>
      </c>
      <c r="G3570" s="8" t="s">
        <v>3976</v>
      </c>
      <c r="H3570" s="8" t="s">
        <v>5159</v>
      </c>
      <c r="I3570" s="3">
        <v>30</v>
      </c>
      <c r="J3570" s="3" t="s">
        <v>6239</v>
      </c>
      <c r="K3570" s="17" t="str">
        <f>HYPERLINK("http://ictvonline.org/taxonomyHistory.asp?taxnode_id=20173863","ICTVonline=20173863")</f>
        <v>ICTVonline=20173863</v>
      </c>
      <c r="L3570" s="3">
        <v>3569</v>
      </c>
    </row>
    <row r="3571" spans="1:12" x14ac:dyDescent="0.15">
      <c r="A3571" s="1" t="s">
        <v>908</v>
      </c>
      <c r="B3571" s="1" t="s">
        <v>1698</v>
      </c>
      <c r="C3571" s="1" t="s">
        <v>4000</v>
      </c>
      <c r="D3571" s="1" t="s">
        <v>4001</v>
      </c>
      <c r="E3571" s="1" t="s">
        <v>4008</v>
      </c>
      <c r="F3571" s="3">
        <v>0</v>
      </c>
      <c r="G3571" s="8" t="s">
        <v>3976</v>
      </c>
      <c r="H3571" s="8" t="s">
        <v>5159</v>
      </c>
      <c r="I3571" s="3">
        <v>30</v>
      </c>
      <c r="J3571" s="3" t="s">
        <v>6239</v>
      </c>
      <c r="K3571" s="17" t="str">
        <f>HYPERLINK("http://ictvonline.org/taxonomyHistory.asp?taxnode_id=20173864","ICTVonline=20173864")</f>
        <v>ICTVonline=20173864</v>
      </c>
      <c r="L3571" s="3">
        <v>3570</v>
      </c>
    </row>
    <row r="3572" spans="1:12" x14ac:dyDescent="0.15">
      <c r="A3572" s="1" t="s">
        <v>908</v>
      </c>
      <c r="B3572" s="1" t="s">
        <v>1698</v>
      </c>
      <c r="C3572" s="1" t="s">
        <v>4000</v>
      </c>
      <c r="D3572" s="1" t="s">
        <v>4001</v>
      </c>
      <c r="E3572" s="1" t="s">
        <v>4009</v>
      </c>
      <c r="F3572" s="3">
        <v>0</v>
      </c>
      <c r="G3572" s="8" t="s">
        <v>3976</v>
      </c>
      <c r="H3572" s="8" t="s">
        <v>5160</v>
      </c>
      <c r="I3572" s="3">
        <v>30</v>
      </c>
      <c r="J3572" s="3" t="s">
        <v>6239</v>
      </c>
      <c r="K3572" s="17" t="str">
        <f>HYPERLINK("http://ictvonline.org/taxonomyHistory.asp?taxnode_id=20173865","ICTVonline=20173865")</f>
        <v>ICTVonline=20173865</v>
      </c>
      <c r="L3572" s="3">
        <v>3571</v>
      </c>
    </row>
    <row r="3573" spans="1:12" x14ac:dyDescent="0.15">
      <c r="A3573" s="1" t="s">
        <v>908</v>
      </c>
      <c r="B3573" s="1" t="s">
        <v>1698</v>
      </c>
      <c r="C3573" s="1" t="s">
        <v>4000</v>
      </c>
      <c r="D3573" s="1" t="s">
        <v>4001</v>
      </c>
      <c r="E3573" s="1" t="s">
        <v>4010</v>
      </c>
      <c r="F3573" s="3">
        <v>0</v>
      </c>
      <c r="G3573" s="8" t="s">
        <v>3976</v>
      </c>
      <c r="H3573" s="8" t="s">
        <v>5160</v>
      </c>
      <c r="I3573" s="3">
        <v>30</v>
      </c>
      <c r="J3573" s="3" t="s">
        <v>6239</v>
      </c>
      <c r="K3573" s="17" t="str">
        <f>HYPERLINK("http://ictvonline.org/taxonomyHistory.asp?taxnode_id=20173866","ICTVonline=20173866")</f>
        <v>ICTVonline=20173866</v>
      </c>
      <c r="L3573" s="3">
        <v>3572</v>
      </c>
    </row>
    <row r="3574" spans="1:12" x14ac:dyDescent="0.15">
      <c r="A3574" s="1" t="s">
        <v>908</v>
      </c>
      <c r="B3574" s="1" t="s">
        <v>1698</v>
      </c>
      <c r="C3574" s="1" t="s">
        <v>4000</v>
      </c>
      <c r="D3574" s="1" t="s">
        <v>4001</v>
      </c>
      <c r="E3574" s="1" t="s">
        <v>4011</v>
      </c>
      <c r="F3574" s="3">
        <v>0</v>
      </c>
      <c r="G3574" s="8" t="s">
        <v>3976</v>
      </c>
      <c r="H3574" s="8" t="s">
        <v>5159</v>
      </c>
      <c r="I3574" s="3">
        <v>30</v>
      </c>
      <c r="J3574" s="3" t="s">
        <v>6239</v>
      </c>
      <c r="K3574" s="17" t="str">
        <f>HYPERLINK("http://ictvonline.org/taxonomyHistory.asp?taxnode_id=20173867","ICTVonline=20173867")</f>
        <v>ICTVonline=20173867</v>
      </c>
      <c r="L3574" s="3">
        <v>3573</v>
      </c>
    </row>
    <row r="3575" spans="1:12" x14ac:dyDescent="0.15">
      <c r="A3575" s="1" t="s">
        <v>908</v>
      </c>
      <c r="B3575" s="1" t="s">
        <v>1698</v>
      </c>
      <c r="C3575" s="1" t="s">
        <v>4000</v>
      </c>
      <c r="D3575" s="1" t="s">
        <v>4012</v>
      </c>
      <c r="E3575" s="1" t="s">
        <v>4013</v>
      </c>
      <c r="F3575" s="3">
        <v>1</v>
      </c>
      <c r="G3575" s="8" t="s">
        <v>3976</v>
      </c>
      <c r="H3575" s="8" t="s">
        <v>5160</v>
      </c>
      <c r="I3575" s="3">
        <v>30</v>
      </c>
      <c r="J3575" s="3" t="s">
        <v>6239</v>
      </c>
      <c r="K3575" s="17" t="str">
        <f>HYPERLINK("http://ictvonline.org/taxonomyHistory.asp?taxnode_id=20173869","ICTVonline=20173869")</f>
        <v>ICTVonline=20173869</v>
      </c>
      <c r="L3575" s="3">
        <v>3574</v>
      </c>
    </row>
    <row r="3576" spans="1:12" x14ac:dyDescent="0.15">
      <c r="A3576" s="1" t="s">
        <v>908</v>
      </c>
      <c r="B3576" s="1" t="s">
        <v>1698</v>
      </c>
      <c r="C3576" s="1" t="s">
        <v>4000</v>
      </c>
      <c r="D3576" s="1" t="s">
        <v>4012</v>
      </c>
      <c r="E3576" s="1" t="s">
        <v>4014</v>
      </c>
      <c r="F3576" s="3">
        <v>0</v>
      </c>
      <c r="G3576" s="8" t="s">
        <v>3976</v>
      </c>
      <c r="H3576" s="8" t="s">
        <v>5159</v>
      </c>
      <c r="I3576" s="3">
        <v>30</v>
      </c>
      <c r="J3576" s="3" t="s">
        <v>6239</v>
      </c>
      <c r="K3576" s="17" t="str">
        <f>HYPERLINK("http://ictvonline.org/taxonomyHistory.asp?taxnode_id=20173870","ICTVonline=20173870")</f>
        <v>ICTVonline=20173870</v>
      </c>
      <c r="L3576" s="3">
        <v>3575</v>
      </c>
    </row>
    <row r="3577" spans="1:12" x14ac:dyDescent="0.15">
      <c r="A3577" s="1" t="s">
        <v>908</v>
      </c>
      <c r="B3577" s="1" t="s">
        <v>1698</v>
      </c>
      <c r="C3577" s="1" t="s">
        <v>4000</v>
      </c>
      <c r="D3577" s="1" t="s">
        <v>4012</v>
      </c>
      <c r="E3577" s="1" t="s">
        <v>4015</v>
      </c>
      <c r="F3577" s="3">
        <v>0</v>
      </c>
      <c r="G3577" s="8" t="s">
        <v>3976</v>
      </c>
      <c r="H3577" s="8" t="s">
        <v>5159</v>
      </c>
      <c r="I3577" s="3">
        <v>30</v>
      </c>
      <c r="J3577" s="3" t="s">
        <v>6239</v>
      </c>
      <c r="K3577" s="17" t="str">
        <f>HYPERLINK("http://ictvonline.org/taxonomyHistory.asp?taxnode_id=20173871","ICTVonline=20173871")</f>
        <v>ICTVonline=20173871</v>
      </c>
      <c r="L3577" s="3">
        <v>3576</v>
      </c>
    </row>
    <row r="3578" spans="1:12" x14ac:dyDescent="0.15">
      <c r="A3578" s="1" t="s">
        <v>908</v>
      </c>
      <c r="B3578" s="1" t="s">
        <v>1698</v>
      </c>
      <c r="C3578" s="1" t="s">
        <v>4000</v>
      </c>
      <c r="D3578" s="1" t="s">
        <v>4016</v>
      </c>
      <c r="E3578" s="1" t="s">
        <v>4017</v>
      </c>
      <c r="F3578" s="3">
        <v>1</v>
      </c>
      <c r="G3578" s="8" t="s">
        <v>3976</v>
      </c>
      <c r="H3578" s="8" t="s">
        <v>5160</v>
      </c>
      <c r="I3578" s="3">
        <v>30</v>
      </c>
      <c r="J3578" s="3" t="s">
        <v>6239</v>
      </c>
      <c r="K3578" s="17" t="str">
        <f>HYPERLINK("http://ictvonline.org/taxonomyHistory.asp?taxnode_id=20173873","ICTVonline=20173873")</f>
        <v>ICTVonline=20173873</v>
      </c>
      <c r="L3578" s="3">
        <v>3577</v>
      </c>
    </row>
    <row r="3579" spans="1:12" x14ac:dyDescent="0.15">
      <c r="A3579" s="1" t="s">
        <v>908</v>
      </c>
      <c r="B3579" s="1" t="s">
        <v>1698</v>
      </c>
      <c r="C3579" s="1" t="s">
        <v>1164</v>
      </c>
      <c r="D3579" s="1" t="s">
        <v>1961</v>
      </c>
      <c r="E3579" s="1" t="s">
        <v>4018</v>
      </c>
      <c r="F3579" s="3">
        <v>1</v>
      </c>
      <c r="G3579" s="8" t="s">
        <v>3976</v>
      </c>
      <c r="H3579" s="8" t="s">
        <v>5162</v>
      </c>
      <c r="I3579" s="3">
        <v>30</v>
      </c>
      <c r="J3579" s="3" t="s">
        <v>5297</v>
      </c>
      <c r="K3579" s="17" t="str">
        <f>HYPERLINK("http://ictvonline.org/taxonomyHistory.asp?taxnode_id=20173876","ICTVonline=20173876")</f>
        <v>ICTVonline=20173876</v>
      </c>
      <c r="L3579" s="3">
        <v>3578</v>
      </c>
    </row>
    <row r="3580" spans="1:12" x14ac:dyDescent="0.15">
      <c r="A3580" s="1" t="s">
        <v>908</v>
      </c>
      <c r="B3580" s="1" t="s">
        <v>1698</v>
      </c>
      <c r="C3580" s="1" t="s">
        <v>1164</v>
      </c>
      <c r="D3580" s="1" t="s">
        <v>1961</v>
      </c>
      <c r="E3580" s="1" t="s">
        <v>4019</v>
      </c>
      <c r="F3580" s="3">
        <v>0</v>
      </c>
      <c r="G3580" s="8" t="s">
        <v>3976</v>
      </c>
      <c r="H3580" s="8" t="s">
        <v>5162</v>
      </c>
      <c r="I3580" s="3">
        <v>30</v>
      </c>
      <c r="J3580" s="3" t="s">
        <v>5297</v>
      </c>
      <c r="K3580" s="17" t="str">
        <f>HYPERLINK("http://ictvonline.org/taxonomyHistory.asp?taxnode_id=20173877","ICTVonline=20173877")</f>
        <v>ICTVonline=20173877</v>
      </c>
      <c r="L3580" s="3">
        <v>3579</v>
      </c>
    </row>
    <row r="3581" spans="1:12" x14ac:dyDescent="0.15">
      <c r="A3581" s="1" t="s">
        <v>908</v>
      </c>
      <c r="B3581" s="1" t="s">
        <v>1698</v>
      </c>
      <c r="C3581" s="1" t="s">
        <v>1164</v>
      </c>
      <c r="D3581" s="1" t="s">
        <v>1962</v>
      </c>
      <c r="E3581" s="1" t="s">
        <v>4020</v>
      </c>
      <c r="F3581" s="3">
        <v>1</v>
      </c>
      <c r="G3581" s="8" t="s">
        <v>3976</v>
      </c>
      <c r="H3581" s="8" t="s">
        <v>5162</v>
      </c>
      <c r="I3581" s="3">
        <v>30</v>
      </c>
      <c r="J3581" s="3" t="s">
        <v>5297</v>
      </c>
      <c r="K3581" s="17" t="str">
        <f>HYPERLINK("http://ictvonline.org/taxonomyHistory.asp?taxnode_id=20173879","ICTVonline=20173879")</f>
        <v>ICTVonline=20173879</v>
      </c>
      <c r="L3581" s="3">
        <v>3580</v>
      </c>
    </row>
    <row r="3582" spans="1:12" x14ac:dyDescent="0.15">
      <c r="A3582" s="1" t="s">
        <v>908</v>
      </c>
      <c r="B3582" s="1" t="s">
        <v>1698</v>
      </c>
      <c r="C3582" s="1" t="s">
        <v>1164</v>
      </c>
      <c r="D3582" s="1" t="s">
        <v>1962</v>
      </c>
      <c r="E3582" s="1" t="s">
        <v>4021</v>
      </c>
      <c r="F3582" s="3">
        <v>0</v>
      </c>
      <c r="G3582" s="8" t="s">
        <v>3976</v>
      </c>
      <c r="H3582" s="8" t="s">
        <v>5162</v>
      </c>
      <c r="I3582" s="3">
        <v>30</v>
      </c>
      <c r="J3582" s="3" t="s">
        <v>5297</v>
      </c>
      <c r="K3582" s="17" t="str">
        <f>HYPERLINK("http://ictvonline.org/taxonomyHistory.asp?taxnode_id=20173880","ICTVonline=20173880")</f>
        <v>ICTVonline=20173880</v>
      </c>
      <c r="L3582" s="3">
        <v>3581</v>
      </c>
    </row>
    <row r="3583" spans="1:12" x14ac:dyDescent="0.15">
      <c r="A3583" s="1" t="s">
        <v>908</v>
      </c>
      <c r="B3583" s="1" t="s">
        <v>1698</v>
      </c>
      <c r="C3583" s="1" t="s">
        <v>1164</v>
      </c>
      <c r="D3583" s="1" t="s">
        <v>1962</v>
      </c>
      <c r="E3583" s="1" t="s">
        <v>4022</v>
      </c>
      <c r="F3583" s="3">
        <v>0</v>
      </c>
      <c r="G3583" s="8" t="s">
        <v>3976</v>
      </c>
      <c r="H3583" s="8" t="s">
        <v>5162</v>
      </c>
      <c r="I3583" s="3">
        <v>30</v>
      </c>
      <c r="J3583" s="3" t="s">
        <v>5297</v>
      </c>
      <c r="K3583" s="17" t="str">
        <f>HYPERLINK("http://ictvonline.org/taxonomyHistory.asp?taxnode_id=20173881","ICTVonline=20173881")</f>
        <v>ICTVonline=20173881</v>
      </c>
      <c r="L3583" s="3">
        <v>3582</v>
      </c>
    </row>
    <row r="3584" spans="1:12" x14ac:dyDescent="0.15">
      <c r="A3584" s="1" t="s">
        <v>908</v>
      </c>
      <c r="B3584" s="1" t="s">
        <v>1698</v>
      </c>
      <c r="C3584" s="1" t="s">
        <v>1164</v>
      </c>
      <c r="D3584" s="1" t="s">
        <v>1962</v>
      </c>
      <c r="E3584" s="1" t="s">
        <v>4023</v>
      </c>
      <c r="F3584" s="3">
        <v>0</v>
      </c>
      <c r="G3584" s="8" t="s">
        <v>3976</v>
      </c>
      <c r="H3584" s="8" t="s">
        <v>5162</v>
      </c>
      <c r="I3584" s="3">
        <v>30</v>
      </c>
      <c r="J3584" s="3" t="s">
        <v>5297</v>
      </c>
      <c r="K3584" s="17" t="str">
        <f>HYPERLINK("http://ictvonline.org/taxonomyHistory.asp?taxnode_id=20173882","ICTVonline=20173882")</f>
        <v>ICTVonline=20173882</v>
      </c>
      <c r="L3584" s="3">
        <v>3583</v>
      </c>
    </row>
    <row r="3585" spans="1:12" x14ac:dyDescent="0.15">
      <c r="A3585" s="1" t="s">
        <v>908</v>
      </c>
      <c r="B3585" s="1" t="s">
        <v>1698</v>
      </c>
      <c r="C3585" s="1" t="s">
        <v>1164</v>
      </c>
      <c r="D3585" s="1" t="s">
        <v>2047</v>
      </c>
      <c r="E3585" s="1" t="s">
        <v>4024</v>
      </c>
      <c r="F3585" s="3">
        <v>1</v>
      </c>
      <c r="G3585" s="8" t="s">
        <v>3976</v>
      </c>
      <c r="H3585" s="8" t="s">
        <v>5162</v>
      </c>
      <c r="I3585" s="3">
        <v>30</v>
      </c>
      <c r="J3585" s="3" t="s">
        <v>5297</v>
      </c>
      <c r="K3585" s="17" t="str">
        <f>HYPERLINK("http://ictvonline.org/taxonomyHistory.asp?taxnode_id=20173884","ICTVonline=20173884")</f>
        <v>ICTVonline=20173884</v>
      </c>
      <c r="L3585" s="3">
        <v>3584</v>
      </c>
    </row>
    <row r="3586" spans="1:12" x14ac:dyDescent="0.15">
      <c r="A3586" s="1" t="s">
        <v>908</v>
      </c>
      <c r="B3586" s="1" t="s">
        <v>2048</v>
      </c>
      <c r="D3586" s="1" t="s">
        <v>2287</v>
      </c>
      <c r="E3586" s="1" t="s">
        <v>2288</v>
      </c>
      <c r="F3586" s="3">
        <v>1</v>
      </c>
      <c r="G3586" s="8" t="s">
        <v>2771</v>
      </c>
      <c r="H3586" s="8" t="s">
        <v>5164</v>
      </c>
      <c r="I3586" s="3">
        <v>27</v>
      </c>
      <c r="J3586" s="3" t="s">
        <v>6240</v>
      </c>
      <c r="K3586" s="17" t="str">
        <f>HYPERLINK("http://ictvonline.org/taxonomyHistory.asp?taxnode_id=20173888","ICTVonline=20173888")</f>
        <v>ICTVonline=20173888</v>
      </c>
      <c r="L3586" s="3">
        <v>3585</v>
      </c>
    </row>
    <row r="3587" spans="1:12" x14ac:dyDescent="0.15">
      <c r="A3587" s="1" t="s">
        <v>908</v>
      </c>
      <c r="B3587" s="1" t="s">
        <v>2048</v>
      </c>
      <c r="D3587" s="1" t="s">
        <v>2049</v>
      </c>
      <c r="E3587" s="1" t="s">
        <v>2050</v>
      </c>
      <c r="F3587" s="3">
        <v>1</v>
      </c>
      <c r="G3587" s="8" t="s">
        <v>2771</v>
      </c>
      <c r="H3587" s="8" t="s">
        <v>5161</v>
      </c>
      <c r="I3587" s="3">
        <v>24</v>
      </c>
      <c r="J3587" s="3" t="s">
        <v>6241</v>
      </c>
      <c r="K3587" s="17" t="str">
        <f>HYPERLINK("http://ictvonline.org/taxonomyHistory.asp?taxnode_id=20173890","ICTVonline=20173890")</f>
        <v>ICTVonline=20173890</v>
      </c>
      <c r="L3587" s="3">
        <v>3586</v>
      </c>
    </row>
    <row r="3588" spans="1:12" x14ac:dyDescent="0.15">
      <c r="A3588" s="1" t="s">
        <v>908</v>
      </c>
      <c r="B3588" s="1" t="s">
        <v>2051</v>
      </c>
      <c r="D3588" s="1" t="s">
        <v>2052</v>
      </c>
      <c r="E3588" s="1" t="s">
        <v>546</v>
      </c>
      <c r="F3588" s="3">
        <v>0</v>
      </c>
      <c r="G3588" s="8" t="s">
        <v>3976</v>
      </c>
      <c r="H3588" s="8" t="s">
        <v>5159</v>
      </c>
      <c r="I3588" s="3">
        <v>25</v>
      </c>
      <c r="J3588" s="3" t="s">
        <v>6242</v>
      </c>
      <c r="K3588" s="17" t="str">
        <f>HYPERLINK("http://ictvonline.org/taxonomyHistory.asp?taxnode_id=20173894","ICTVonline=20173894")</f>
        <v>ICTVonline=20173894</v>
      </c>
      <c r="L3588" s="3">
        <v>3587</v>
      </c>
    </row>
    <row r="3589" spans="1:12" x14ac:dyDescent="0.15">
      <c r="A3589" s="1" t="s">
        <v>908</v>
      </c>
      <c r="B3589" s="1" t="s">
        <v>2051</v>
      </c>
      <c r="D3589" s="1" t="s">
        <v>2052</v>
      </c>
      <c r="E3589" s="1" t="s">
        <v>2053</v>
      </c>
      <c r="F3589" s="3">
        <v>1</v>
      </c>
      <c r="G3589" s="8" t="s">
        <v>3976</v>
      </c>
      <c r="H3589" s="8" t="s">
        <v>5165</v>
      </c>
      <c r="I3589" s="3">
        <v>20</v>
      </c>
      <c r="J3589" s="3" t="s">
        <v>5628</v>
      </c>
      <c r="K3589" s="17" t="str">
        <f>HYPERLINK("http://ictvonline.org/taxonomyHistory.asp?taxnode_id=20173895","ICTVonline=20173895")</f>
        <v>ICTVonline=20173895</v>
      </c>
      <c r="L3589" s="3">
        <v>3588</v>
      </c>
    </row>
    <row r="3590" spans="1:12" x14ac:dyDescent="0.15">
      <c r="A3590" s="1" t="s">
        <v>908</v>
      </c>
      <c r="B3590" s="1" t="s">
        <v>2051</v>
      </c>
      <c r="D3590" s="1" t="s">
        <v>2052</v>
      </c>
      <c r="E3590" s="1" t="s">
        <v>547</v>
      </c>
      <c r="F3590" s="3">
        <v>0</v>
      </c>
      <c r="G3590" s="8" t="s">
        <v>3976</v>
      </c>
      <c r="H3590" s="8" t="s">
        <v>5159</v>
      </c>
      <c r="I3590" s="3">
        <v>25</v>
      </c>
      <c r="J3590" s="3" t="s">
        <v>6243</v>
      </c>
      <c r="K3590" s="17" t="str">
        <f>HYPERLINK("http://ictvonline.org/taxonomyHistory.asp?taxnode_id=20173896","ICTVonline=20173896")</f>
        <v>ICTVonline=20173896</v>
      </c>
      <c r="L3590" s="3">
        <v>3589</v>
      </c>
    </row>
    <row r="3591" spans="1:12" x14ac:dyDescent="0.15">
      <c r="A3591" s="1" t="s">
        <v>908</v>
      </c>
      <c r="B3591" s="1" t="s">
        <v>2051</v>
      </c>
      <c r="D3591" s="1" t="s">
        <v>2054</v>
      </c>
      <c r="E3591" s="1" t="s">
        <v>4025</v>
      </c>
      <c r="F3591" s="3">
        <v>0</v>
      </c>
      <c r="G3591" s="8" t="s">
        <v>3976</v>
      </c>
      <c r="H3591" s="8" t="s">
        <v>5159</v>
      </c>
      <c r="I3591" s="3">
        <v>30</v>
      </c>
      <c r="J3591" s="3" t="s">
        <v>6244</v>
      </c>
      <c r="K3591" s="17" t="str">
        <f>HYPERLINK("http://ictvonline.org/taxonomyHistory.asp?taxnode_id=20173898","ICTVonline=20173898")</f>
        <v>ICTVonline=20173898</v>
      </c>
      <c r="L3591" s="3">
        <v>3590</v>
      </c>
    </row>
    <row r="3592" spans="1:12" x14ac:dyDescent="0.15">
      <c r="A3592" s="1" t="s">
        <v>908</v>
      </c>
      <c r="B3592" s="1" t="s">
        <v>2051</v>
      </c>
      <c r="D3592" s="1" t="s">
        <v>2054</v>
      </c>
      <c r="E3592" s="1" t="s">
        <v>105</v>
      </c>
      <c r="F3592" s="3">
        <v>0</v>
      </c>
      <c r="G3592" s="8" t="s">
        <v>3976</v>
      </c>
      <c r="H3592" s="8" t="s">
        <v>5159</v>
      </c>
      <c r="I3592" s="3">
        <v>26</v>
      </c>
      <c r="J3592" s="3" t="s">
        <v>6245</v>
      </c>
      <c r="K3592" s="17" t="str">
        <f>HYPERLINK("http://ictvonline.org/taxonomyHistory.asp?taxnode_id=20173899","ICTVonline=20173899")</f>
        <v>ICTVonline=20173899</v>
      </c>
      <c r="L3592" s="3">
        <v>3591</v>
      </c>
    </row>
    <row r="3593" spans="1:12" x14ac:dyDescent="0.15">
      <c r="A3593" s="1" t="s">
        <v>908</v>
      </c>
      <c r="B3593" s="1" t="s">
        <v>2051</v>
      </c>
      <c r="D3593" s="1" t="s">
        <v>2054</v>
      </c>
      <c r="E3593" s="1" t="s">
        <v>1629</v>
      </c>
      <c r="F3593" s="3">
        <v>0</v>
      </c>
      <c r="G3593" s="8" t="s">
        <v>3976</v>
      </c>
      <c r="H3593" s="8" t="s">
        <v>5161</v>
      </c>
      <c r="I3593" s="3">
        <v>20</v>
      </c>
      <c r="J3593" s="3" t="s">
        <v>5628</v>
      </c>
      <c r="K3593" s="17" t="str">
        <f>HYPERLINK("http://ictvonline.org/taxonomyHistory.asp?taxnode_id=20173900","ICTVonline=20173900")</f>
        <v>ICTVonline=20173900</v>
      </c>
      <c r="L3593" s="3">
        <v>3592</v>
      </c>
    </row>
    <row r="3594" spans="1:12" x14ac:dyDescent="0.15">
      <c r="A3594" s="1" t="s">
        <v>908</v>
      </c>
      <c r="B3594" s="1" t="s">
        <v>2051</v>
      </c>
      <c r="D3594" s="1" t="s">
        <v>2054</v>
      </c>
      <c r="E3594" s="1" t="s">
        <v>2289</v>
      </c>
      <c r="F3594" s="3">
        <v>0</v>
      </c>
      <c r="G3594" s="8" t="s">
        <v>3976</v>
      </c>
      <c r="H3594" s="8" t="s">
        <v>5159</v>
      </c>
      <c r="I3594" s="3">
        <v>27</v>
      </c>
      <c r="J3594" s="3" t="s">
        <v>6246</v>
      </c>
      <c r="K3594" s="17" t="str">
        <f>HYPERLINK("http://ictvonline.org/taxonomyHistory.asp?taxnode_id=20173901","ICTVonline=20173901")</f>
        <v>ICTVonline=20173901</v>
      </c>
      <c r="L3594" s="3">
        <v>3593</v>
      </c>
    </row>
    <row r="3595" spans="1:12" x14ac:dyDescent="0.15">
      <c r="A3595" s="1" t="s">
        <v>908</v>
      </c>
      <c r="B3595" s="1" t="s">
        <v>2051</v>
      </c>
      <c r="D3595" s="1" t="s">
        <v>2054</v>
      </c>
      <c r="E3595" s="1" t="s">
        <v>1094</v>
      </c>
      <c r="F3595" s="3">
        <v>0</v>
      </c>
      <c r="G3595" s="8" t="s">
        <v>3976</v>
      </c>
      <c r="H3595" s="8" t="s">
        <v>5161</v>
      </c>
      <c r="I3595" s="3">
        <v>20</v>
      </c>
      <c r="J3595" s="3" t="s">
        <v>5628</v>
      </c>
      <c r="K3595" s="17" t="str">
        <f>HYPERLINK("http://ictvonline.org/taxonomyHistory.asp?taxnode_id=20173902","ICTVonline=20173902")</f>
        <v>ICTVonline=20173902</v>
      </c>
      <c r="L3595" s="3">
        <v>3594</v>
      </c>
    </row>
    <row r="3596" spans="1:12" x14ac:dyDescent="0.15">
      <c r="A3596" s="1" t="s">
        <v>908</v>
      </c>
      <c r="B3596" s="1" t="s">
        <v>2051</v>
      </c>
      <c r="D3596" s="1" t="s">
        <v>2054</v>
      </c>
      <c r="E3596" s="1" t="s">
        <v>106</v>
      </c>
      <c r="F3596" s="3">
        <v>0</v>
      </c>
      <c r="G3596" s="8" t="s">
        <v>3976</v>
      </c>
      <c r="H3596" s="8" t="s">
        <v>5159</v>
      </c>
      <c r="I3596" s="3">
        <v>26</v>
      </c>
      <c r="J3596" s="3" t="s">
        <v>6245</v>
      </c>
      <c r="K3596" s="17" t="str">
        <f>HYPERLINK("http://ictvonline.org/taxonomyHistory.asp?taxnode_id=20173903","ICTVonline=20173903")</f>
        <v>ICTVonline=20173903</v>
      </c>
      <c r="L3596" s="3">
        <v>3595</v>
      </c>
    </row>
    <row r="3597" spans="1:12" x14ac:dyDescent="0.15">
      <c r="A3597" s="1" t="s">
        <v>908</v>
      </c>
      <c r="B3597" s="1" t="s">
        <v>2051</v>
      </c>
      <c r="D3597" s="1" t="s">
        <v>2054</v>
      </c>
      <c r="E3597" s="1" t="s">
        <v>4026</v>
      </c>
      <c r="F3597" s="3">
        <v>0</v>
      </c>
      <c r="G3597" s="8" t="s">
        <v>3976</v>
      </c>
      <c r="H3597" s="8" t="s">
        <v>5159</v>
      </c>
      <c r="I3597" s="3">
        <v>30</v>
      </c>
      <c r="J3597" s="3" t="s">
        <v>6244</v>
      </c>
      <c r="K3597" s="17" t="str">
        <f>HYPERLINK("http://ictvonline.org/taxonomyHistory.asp?taxnode_id=20173904","ICTVonline=20173904")</f>
        <v>ICTVonline=20173904</v>
      </c>
      <c r="L3597" s="3">
        <v>3596</v>
      </c>
    </row>
    <row r="3598" spans="1:12" x14ac:dyDescent="0.15">
      <c r="A3598" s="1" t="s">
        <v>908</v>
      </c>
      <c r="B3598" s="1" t="s">
        <v>2051</v>
      </c>
      <c r="D3598" s="1" t="s">
        <v>2054</v>
      </c>
      <c r="E3598" s="1" t="s">
        <v>1095</v>
      </c>
      <c r="F3598" s="3">
        <v>1</v>
      </c>
      <c r="G3598" s="8" t="s">
        <v>3976</v>
      </c>
      <c r="H3598" s="8" t="s">
        <v>5161</v>
      </c>
      <c r="I3598" s="3">
        <v>20</v>
      </c>
      <c r="J3598" s="3" t="s">
        <v>5628</v>
      </c>
      <c r="K3598" s="17" t="str">
        <f>HYPERLINK("http://ictvonline.org/taxonomyHistory.asp?taxnode_id=20173905","ICTVonline=20173905")</f>
        <v>ICTVonline=20173905</v>
      </c>
      <c r="L3598" s="3">
        <v>3597</v>
      </c>
    </row>
    <row r="3599" spans="1:12" x14ac:dyDescent="0.15">
      <c r="A3599" s="1" t="s">
        <v>908</v>
      </c>
      <c r="B3599" s="1" t="s">
        <v>2051</v>
      </c>
      <c r="D3599" s="1" t="s">
        <v>908</v>
      </c>
      <c r="E3599" s="1" t="s">
        <v>1096</v>
      </c>
      <c r="F3599" s="3">
        <v>0</v>
      </c>
      <c r="G3599" s="8" t="s">
        <v>3976</v>
      </c>
      <c r="H3599" s="8" t="s">
        <v>5159</v>
      </c>
      <c r="I3599" s="3">
        <v>23</v>
      </c>
      <c r="J3599" s="3" t="s">
        <v>6020</v>
      </c>
      <c r="K3599" s="17" t="str">
        <f>HYPERLINK("http://ictvonline.org/taxonomyHistory.asp?taxnode_id=20173907","ICTVonline=20173907")</f>
        <v>ICTVonline=20173907</v>
      </c>
      <c r="L3599" s="3">
        <v>3598</v>
      </c>
    </row>
    <row r="3600" spans="1:12" x14ac:dyDescent="0.15">
      <c r="A3600" s="1" t="s">
        <v>908</v>
      </c>
      <c r="B3600" s="1" t="s">
        <v>1097</v>
      </c>
      <c r="D3600" s="1" t="s">
        <v>1098</v>
      </c>
      <c r="E3600" s="1" t="s">
        <v>1020</v>
      </c>
      <c r="F3600" s="3">
        <v>1</v>
      </c>
      <c r="G3600" s="8" t="s">
        <v>2773</v>
      </c>
      <c r="H3600" s="8" t="s">
        <v>5162</v>
      </c>
      <c r="I3600" s="3">
        <v>21</v>
      </c>
      <c r="J3600" s="3" t="s">
        <v>6247</v>
      </c>
      <c r="K3600" s="17" t="str">
        <f>HYPERLINK("http://ictvonline.org/taxonomyHistory.asp?taxnode_id=20173911","ICTVonline=20173911")</f>
        <v>ICTVonline=20173911</v>
      </c>
      <c r="L3600" s="3">
        <v>3599</v>
      </c>
    </row>
    <row r="3601" spans="1:12" x14ac:dyDescent="0.15">
      <c r="A3601" s="1" t="s">
        <v>908</v>
      </c>
      <c r="B3601" s="1" t="s">
        <v>1097</v>
      </c>
      <c r="D3601" s="1" t="s">
        <v>1098</v>
      </c>
      <c r="E3601" s="1" t="s">
        <v>1022</v>
      </c>
      <c r="F3601" s="3">
        <v>0</v>
      </c>
      <c r="G3601" s="8" t="s">
        <v>2773</v>
      </c>
      <c r="H3601" s="8" t="s">
        <v>5159</v>
      </c>
      <c r="I3601" s="3">
        <v>21</v>
      </c>
      <c r="J3601" s="3" t="s">
        <v>6247</v>
      </c>
      <c r="K3601" s="17" t="str">
        <f>HYPERLINK("http://ictvonline.org/taxonomyHistory.asp?taxnode_id=20173912","ICTVonline=20173912")</f>
        <v>ICTVonline=20173912</v>
      </c>
      <c r="L3601" s="3">
        <v>3600</v>
      </c>
    </row>
    <row r="3602" spans="1:12" x14ac:dyDescent="0.15">
      <c r="A3602" s="1" t="s">
        <v>908</v>
      </c>
      <c r="B3602" s="1" t="s">
        <v>1097</v>
      </c>
      <c r="D3602" s="1" t="s">
        <v>1098</v>
      </c>
      <c r="E3602" s="1" t="s">
        <v>1023</v>
      </c>
      <c r="F3602" s="3">
        <v>0</v>
      </c>
      <c r="G3602" s="8" t="s">
        <v>2773</v>
      </c>
      <c r="H3602" s="8" t="s">
        <v>5159</v>
      </c>
      <c r="I3602" s="3">
        <v>21</v>
      </c>
      <c r="J3602" s="3" t="s">
        <v>6247</v>
      </c>
      <c r="K3602" s="17" t="str">
        <f>HYPERLINK("http://ictvonline.org/taxonomyHistory.asp?taxnode_id=20173913","ICTVonline=20173913")</f>
        <v>ICTVonline=20173913</v>
      </c>
      <c r="L3602" s="3">
        <v>3601</v>
      </c>
    </row>
    <row r="3603" spans="1:12" x14ac:dyDescent="0.15">
      <c r="A3603" s="1" t="s">
        <v>908</v>
      </c>
      <c r="B3603" s="1" t="s">
        <v>1097</v>
      </c>
      <c r="D3603" s="1" t="s">
        <v>1098</v>
      </c>
      <c r="E3603" s="1" t="s">
        <v>1024</v>
      </c>
      <c r="F3603" s="3">
        <v>0</v>
      </c>
      <c r="G3603" s="8" t="s">
        <v>2773</v>
      </c>
      <c r="H3603" s="8" t="s">
        <v>5159</v>
      </c>
      <c r="I3603" s="3">
        <v>21</v>
      </c>
      <c r="J3603" s="3" t="s">
        <v>6247</v>
      </c>
      <c r="K3603" s="17" t="str">
        <f>HYPERLINK("http://ictvonline.org/taxonomyHistory.asp?taxnode_id=20173914","ICTVonline=20173914")</f>
        <v>ICTVonline=20173914</v>
      </c>
      <c r="L3603" s="3">
        <v>3602</v>
      </c>
    </row>
    <row r="3604" spans="1:12" x14ac:dyDescent="0.15">
      <c r="A3604" s="1" t="s">
        <v>908</v>
      </c>
      <c r="B3604" s="1" t="s">
        <v>1097</v>
      </c>
      <c r="D3604" s="1" t="s">
        <v>1098</v>
      </c>
      <c r="E3604" s="1" t="s">
        <v>1021</v>
      </c>
      <c r="F3604" s="3">
        <v>0</v>
      </c>
      <c r="G3604" s="8" t="s">
        <v>2773</v>
      </c>
      <c r="H3604" s="8" t="s">
        <v>5159</v>
      </c>
      <c r="I3604" s="3">
        <v>21</v>
      </c>
      <c r="J3604" s="3" t="s">
        <v>6247</v>
      </c>
      <c r="K3604" s="17" t="str">
        <f>HYPERLINK("http://ictvonline.org/taxonomyHistory.asp?taxnode_id=20173915","ICTVonline=20173915")</f>
        <v>ICTVonline=20173915</v>
      </c>
      <c r="L3604" s="3">
        <v>3603</v>
      </c>
    </row>
    <row r="3605" spans="1:12" x14ac:dyDescent="0.15">
      <c r="A3605" s="1" t="s">
        <v>908</v>
      </c>
      <c r="B3605" s="1" t="s">
        <v>1097</v>
      </c>
      <c r="D3605" s="1" t="s">
        <v>1025</v>
      </c>
      <c r="E3605" s="1" t="s">
        <v>1026</v>
      </c>
      <c r="F3605" s="3">
        <v>1</v>
      </c>
      <c r="G3605" s="8" t="s">
        <v>2773</v>
      </c>
      <c r="H3605" s="8" t="s">
        <v>5162</v>
      </c>
      <c r="I3605" s="3">
        <v>21</v>
      </c>
      <c r="J3605" s="3" t="s">
        <v>6247</v>
      </c>
      <c r="K3605" s="17" t="str">
        <f>HYPERLINK("http://ictvonline.org/taxonomyHistory.asp?taxnode_id=20173917","ICTVonline=20173917")</f>
        <v>ICTVonline=20173917</v>
      </c>
      <c r="L3605" s="3">
        <v>3604</v>
      </c>
    </row>
    <row r="3606" spans="1:12" x14ac:dyDescent="0.15">
      <c r="A3606" s="1" t="s">
        <v>908</v>
      </c>
      <c r="B3606" s="1" t="s">
        <v>1097</v>
      </c>
      <c r="D3606" s="1" t="s">
        <v>1025</v>
      </c>
      <c r="E3606" s="1" t="s">
        <v>1099</v>
      </c>
      <c r="F3606" s="3">
        <v>0</v>
      </c>
      <c r="G3606" s="8" t="s">
        <v>2773</v>
      </c>
      <c r="H3606" s="8" t="s">
        <v>5162</v>
      </c>
      <c r="I3606" s="3">
        <v>21</v>
      </c>
      <c r="J3606" s="3" t="s">
        <v>6247</v>
      </c>
      <c r="K3606" s="17" t="str">
        <f>HYPERLINK("http://ictvonline.org/taxonomyHistory.asp?taxnode_id=20173918","ICTVonline=20173918")</f>
        <v>ICTVonline=20173918</v>
      </c>
      <c r="L3606" s="3">
        <v>3605</v>
      </c>
    </row>
    <row r="3607" spans="1:12" x14ac:dyDescent="0.15">
      <c r="A3607" s="1" t="s">
        <v>908</v>
      </c>
      <c r="B3607" s="1" t="s">
        <v>1100</v>
      </c>
      <c r="D3607" s="1" t="s">
        <v>1101</v>
      </c>
      <c r="E3607" s="1" t="s">
        <v>1102</v>
      </c>
      <c r="F3607" s="3">
        <v>1</v>
      </c>
      <c r="G3607" s="8" t="s">
        <v>2771</v>
      </c>
      <c r="H3607" s="8" t="s">
        <v>5162</v>
      </c>
      <c r="I3607" s="3">
        <v>24</v>
      </c>
      <c r="J3607" s="3" t="s">
        <v>6248</v>
      </c>
      <c r="K3607" s="17" t="str">
        <f>HYPERLINK("http://ictvonline.org/taxonomyHistory.asp?taxnode_id=20173922","ICTVonline=20173922")</f>
        <v>ICTVonline=20173922</v>
      </c>
      <c r="L3607" s="3">
        <v>3606</v>
      </c>
    </row>
    <row r="3608" spans="1:12" x14ac:dyDescent="0.15">
      <c r="A3608" s="1" t="s">
        <v>908</v>
      </c>
      <c r="B3608" s="1" t="s">
        <v>1103</v>
      </c>
      <c r="D3608" s="1" t="s">
        <v>1104</v>
      </c>
      <c r="E3608" s="1" t="s">
        <v>1105</v>
      </c>
      <c r="F3608" s="3">
        <v>0</v>
      </c>
      <c r="G3608" s="8" t="s">
        <v>2773</v>
      </c>
      <c r="H3608" s="8" t="s">
        <v>5161</v>
      </c>
      <c r="I3608" s="3">
        <v>16</v>
      </c>
      <c r="J3608" s="3" t="s">
        <v>6032</v>
      </c>
      <c r="K3608" s="17" t="str">
        <f>HYPERLINK("http://ictvonline.org/taxonomyHistory.asp?taxnode_id=20173926","ICTVonline=20173926")</f>
        <v>ICTVonline=20173926</v>
      </c>
      <c r="L3608" s="3">
        <v>3607</v>
      </c>
    </row>
    <row r="3609" spans="1:12" x14ac:dyDescent="0.15">
      <c r="A3609" s="1" t="s">
        <v>908</v>
      </c>
      <c r="B3609" s="1" t="s">
        <v>1103</v>
      </c>
      <c r="D3609" s="1" t="s">
        <v>1104</v>
      </c>
      <c r="E3609" s="1" t="s">
        <v>1106</v>
      </c>
      <c r="F3609" s="3">
        <v>0</v>
      </c>
      <c r="G3609" s="8" t="s">
        <v>2773</v>
      </c>
      <c r="H3609" s="8" t="s">
        <v>5161</v>
      </c>
      <c r="I3609" s="3">
        <v>16</v>
      </c>
      <c r="J3609" s="3" t="s">
        <v>6032</v>
      </c>
      <c r="K3609" s="17" t="str">
        <f>HYPERLINK("http://ictvonline.org/taxonomyHistory.asp?taxnode_id=20173927","ICTVonline=20173927")</f>
        <v>ICTVonline=20173927</v>
      </c>
      <c r="L3609" s="3">
        <v>3608</v>
      </c>
    </row>
    <row r="3610" spans="1:12" x14ac:dyDescent="0.15">
      <c r="A3610" s="1" t="s">
        <v>908</v>
      </c>
      <c r="B3610" s="1" t="s">
        <v>1103</v>
      </c>
      <c r="D3610" s="1" t="s">
        <v>1104</v>
      </c>
      <c r="E3610" s="1" t="s">
        <v>1107</v>
      </c>
      <c r="F3610" s="3">
        <v>0</v>
      </c>
      <c r="G3610" s="8" t="s">
        <v>2773</v>
      </c>
      <c r="H3610" s="8" t="s">
        <v>5161</v>
      </c>
      <c r="I3610" s="3">
        <v>16</v>
      </c>
      <c r="J3610" s="3" t="s">
        <v>6032</v>
      </c>
      <c r="K3610" s="17" t="str">
        <f>HYPERLINK("http://ictvonline.org/taxonomyHistory.asp?taxnode_id=20173928","ICTVonline=20173928")</f>
        <v>ICTVonline=20173928</v>
      </c>
      <c r="L3610" s="3">
        <v>3609</v>
      </c>
    </row>
    <row r="3611" spans="1:12" x14ac:dyDescent="0.15">
      <c r="A3611" s="1" t="s">
        <v>908</v>
      </c>
      <c r="B3611" s="1" t="s">
        <v>1103</v>
      </c>
      <c r="D3611" s="1" t="s">
        <v>1104</v>
      </c>
      <c r="E3611" s="1" t="s">
        <v>1108</v>
      </c>
      <c r="F3611" s="3">
        <v>1</v>
      </c>
      <c r="G3611" s="8" t="s">
        <v>2773</v>
      </c>
      <c r="H3611" s="8" t="s">
        <v>5161</v>
      </c>
      <c r="I3611" s="3">
        <v>16</v>
      </c>
      <c r="J3611" s="3" t="s">
        <v>6032</v>
      </c>
      <c r="K3611" s="17" t="str">
        <f>HYPERLINK("http://ictvonline.org/taxonomyHistory.asp?taxnode_id=20173929","ICTVonline=20173929")</f>
        <v>ICTVonline=20173929</v>
      </c>
      <c r="L3611" s="3">
        <v>3610</v>
      </c>
    </row>
    <row r="3612" spans="1:12" x14ac:dyDescent="0.15">
      <c r="A3612" s="1" t="s">
        <v>908</v>
      </c>
      <c r="B3612" s="1" t="s">
        <v>1103</v>
      </c>
      <c r="D3612" s="1" t="s">
        <v>1104</v>
      </c>
      <c r="E3612" s="1" t="s">
        <v>1109</v>
      </c>
      <c r="F3612" s="3">
        <v>0</v>
      </c>
      <c r="G3612" s="8" t="s">
        <v>2773</v>
      </c>
      <c r="H3612" s="8" t="s">
        <v>5159</v>
      </c>
      <c r="I3612" s="3">
        <v>20</v>
      </c>
      <c r="J3612" s="3" t="s">
        <v>5628</v>
      </c>
      <c r="K3612" s="17" t="str">
        <f>HYPERLINK("http://ictvonline.org/taxonomyHistory.asp?taxnode_id=20173930","ICTVonline=20173930")</f>
        <v>ICTVonline=20173930</v>
      </c>
      <c r="L3612" s="3">
        <v>3611</v>
      </c>
    </row>
    <row r="3613" spans="1:12" x14ac:dyDescent="0.15">
      <c r="A3613" s="1" t="s">
        <v>908</v>
      </c>
      <c r="B3613" s="1" t="s">
        <v>1103</v>
      </c>
      <c r="D3613" s="1" t="s">
        <v>1110</v>
      </c>
      <c r="E3613" s="1" t="s">
        <v>1111</v>
      </c>
      <c r="F3613" s="3">
        <v>0</v>
      </c>
      <c r="G3613" s="8" t="s">
        <v>2773</v>
      </c>
      <c r="H3613" s="8" t="s">
        <v>5161</v>
      </c>
      <c r="I3613" s="3">
        <v>16</v>
      </c>
      <c r="J3613" s="3" t="s">
        <v>6032</v>
      </c>
      <c r="K3613" s="17" t="str">
        <f>HYPERLINK("http://ictvonline.org/taxonomyHistory.asp?taxnode_id=20173932","ICTVonline=20173932")</f>
        <v>ICTVonline=20173932</v>
      </c>
      <c r="L3613" s="3">
        <v>3612</v>
      </c>
    </row>
    <row r="3614" spans="1:12" x14ac:dyDescent="0.15">
      <c r="A3614" s="1" t="s">
        <v>908</v>
      </c>
      <c r="B3614" s="1" t="s">
        <v>1103</v>
      </c>
      <c r="D3614" s="1" t="s">
        <v>1110</v>
      </c>
      <c r="E3614" s="1" t="s">
        <v>1635</v>
      </c>
      <c r="F3614" s="3">
        <v>0</v>
      </c>
      <c r="G3614" s="8" t="s">
        <v>2773</v>
      </c>
      <c r="H3614" s="8" t="s">
        <v>5161</v>
      </c>
      <c r="I3614" s="3">
        <v>16</v>
      </c>
      <c r="J3614" s="3" t="s">
        <v>6032</v>
      </c>
      <c r="K3614" s="17" t="str">
        <f>HYPERLINK("http://ictvonline.org/taxonomyHistory.asp?taxnode_id=20173933","ICTVonline=20173933")</f>
        <v>ICTVonline=20173933</v>
      </c>
      <c r="L3614" s="3">
        <v>3613</v>
      </c>
    </row>
    <row r="3615" spans="1:12" x14ac:dyDescent="0.15">
      <c r="A3615" s="1" t="s">
        <v>908</v>
      </c>
      <c r="B3615" s="1" t="s">
        <v>1103</v>
      </c>
      <c r="D3615" s="1" t="s">
        <v>1110</v>
      </c>
      <c r="E3615" s="1" t="s">
        <v>1636</v>
      </c>
      <c r="F3615" s="3">
        <v>1</v>
      </c>
      <c r="G3615" s="8" t="s">
        <v>2773</v>
      </c>
      <c r="H3615" s="8" t="s">
        <v>5162</v>
      </c>
      <c r="I3615" s="3">
        <v>18</v>
      </c>
      <c r="J3615" s="3" t="s">
        <v>5597</v>
      </c>
      <c r="K3615" s="17" t="str">
        <f>HYPERLINK("http://ictvonline.org/taxonomyHistory.asp?taxnode_id=20173934","ICTVonline=20173934")</f>
        <v>ICTVonline=20173934</v>
      </c>
      <c r="L3615" s="3">
        <v>3614</v>
      </c>
    </row>
    <row r="3616" spans="1:12" x14ac:dyDescent="0.15">
      <c r="A3616" s="1" t="s">
        <v>908</v>
      </c>
      <c r="B3616" s="1" t="s">
        <v>1103</v>
      </c>
      <c r="D3616" s="1" t="s">
        <v>1110</v>
      </c>
      <c r="E3616" s="1" t="s">
        <v>1637</v>
      </c>
      <c r="F3616" s="3">
        <v>0</v>
      </c>
      <c r="G3616" s="8" t="s">
        <v>2773</v>
      </c>
      <c r="H3616" s="8" t="s">
        <v>5161</v>
      </c>
      <c r="I3616" s="3">
        <v>16</v>
      </c>
      <c r="J3616" s="3" t="s">
        <v>6032</v>
      </c>
      <c r="K3616" s="17" t="str">
        <f>HYPERLINK("http://ictvonline.org/taxonomyHistory.asp?taxnode_id=20173935","ICTVonline=20173935")</f>
        <v>ICTVonline=20173935</v>
      </c>
      <c r="L3616" s="3">
        <v>3615</v>
      </c>
    </row>
    <row r="3617" spans="1:12" x14ac:dyDescent="0.15">
      <c r="A3617" s="1" t="s">
        <v>908</v>
      </c>
      <c r="B3617" s="1" t="s">
        <v>2501</v>
      </c>
      <c r="D3617" s="1" t="s">
        <v>2502</v>
      </c>
      <c r="E3617" s="1" t="s">
        <v>2503</v>
      </c>
      <c r="F3617" s="3">
        <v>0</v>
      </c>
      <c r="G3617" s="8" t="s">
        <v>2771</v>
      </c>
      <c r="H3617" s="8" t="s">
        <v>5159</v>
      </c>
      <c r="I3617" s="3">
        <v>28</v>
      </c>
      <c r="J3617" s="3" t="s">
        <v>6249</v>
      </c>
      <c r="K3617" s="17" t="str">
        <f>HYPERLINK("http://ictvonline.org/taxonomyHistory.asp?taxnode_id=20173939","ICTVonline=20173939")</f>
        <v>ICTVonline=20173939</v>
      </c>
      <c r="L3617" s="3">
        <v>3616</v>
      </c>
    </row>
    <row r="3618" spans="1:12" x14ac:dyDescent="0.15">
      <c r="A3618" s="1" t="s">
        <v>908</v>
      </c>
      <c r="B3618" s="1" t="s">
        <v>2501</v>
      </c>
      <c r="D3618" s="1" t="s">
        <v>2502</v>
      </c>
      <c r="E3618" s="1" t="s">
        <v>2504</v>
      </c>
      <c r="F3618" s="3">
        <v>1</v>
      </c>
      <c r="G3618" s="8" t="s">
        <v>2771</v>
      </c>
      <c r="H3618" s="8" t="s">
        <v>5159</v>
      </c>
      <c r="I3618" s="3">
        <v>28</v>
      </c>
      <c r="J3618" s="3" t="s">
        <v>6249</v>
      </c>
      <c r="K3618" s="17" t="str">
        <f>HYPERLINK("http://ictvonline.org/taxonomyHistory.asp?taxnode_id=20173940","ICTVonline=20173940")</f>
        <v>ICTVonline=20173940</v>
      </c>
      <c r="L3618" s="3">
        <v>3617</v>
      </c>
    </row>
    <row r="3619" spans="1:12" x14ac:dyDescent="0.15">
      <c r="A3619" s="1" t="s">
        <v>908</v>
      </c>
      <c r="B3619" s="1" t="s">
        <v>2501</v>
      </c>
      <c r="D3619" s="1" t="s">
        <v>2505</v>
      </c>
      <c r="E3619" s="1" t="s">
        <v>2506</v>
      </c>
      <c r="F3619" s="3">
        <v>1</v>
      </c>
      <c r="G3619" s="8" t="s">
        <v>2771</v>
      </c>
      <c r="H3619" s="8" t="s">
        <v>5159</v>
      </c>
      <c r="I3619" s="3">
        <v>28</v>
      </c>
      <c r="J3619" s="3" t="s">
        <v>6249</v>
      </c>
      <c r="K3619" s="17" t="str">
        <f>HYPERLINK("http://ictvonline.org/taxonomyHistory.asp?taxnode_id=20173942","ICTVonline=20173942")</f>
        <v>ICTVonline=20173942</v>
      </c>
      <c r="L3619" s="3">
        <v>3618</v>
      </c>
    </row>
    <row r="3620" spans="1:12" x14ac:dyDescent="0.15">
      <c r="A3620" s="1" t="s">
        <v>908</v>
      </c>
      <c r="B3620" s="1" t="s">
        <v>1639</v>
      </c>
      <c r="D3620" s="1" t="s">
        <v>6250</v>
      </c>
      <c r="E3620" s="1" t="s">
        <v>913</v>
      </c>
      <c r="F3620" s="3">
        <v>1</v>
      </c>
      <c r="G3620" s="8" t="s">
        <v>2772</v>
      </c>
      <c r="H3620" s="8" t="s">
        <v>5161</v>
      </c>
      <c r="I3620" s="3">
        <v>32</v>
      </c>
      <c r="J3620" s="3" t="s">
        <v>6251</v>
      </c>
      <c r="K3620" s="17" t="str">
        <f>HYPERLINK("http://ictvonline.org/taxonomyHistory.asp?taxnode_id=20173956","ICTVonline=20173956")</f>
        <v>ICTVonline=20173956</v>
      </c>
      <c r="L3620" s="3">
        <v>3619</v>
      </c>
    </row>
    <row r="3621" spans="1:12" x14ac:dyDescent="0.15">
      <c r="A3621" s="1" t="s">
        <v>908</v>
      </c>
      <c r="B3621" s="1" t="s">
        <v>1639</v>
      </c>
      <c r="D3621" s="1" t="s">
        <v>6252</v>
      </c>
      <c r="E3621" s="1" t="s">
        <v>829</v>
      </c>
      <c r="F3621" s="3">
        <v>1</v>
      </c>
      <c r="G3621" s="8" t="s">
        <v>2772</v>
      </c>
      <c r="H3621" s="8" t="s">
        <v>5161</v>
      </c>
      <c r="I3621" s="3">
        <v>32</v>
      </c>
      <c r="J3621" s="3" t="s">
        <v>6251</v>
      </c>
      <c r="K3621" s="17" t="str">
        <f>HYPERLINK("http://ictvonline.org/taxonomyHistory.asp?taxnode_id=20173958","ICTVonline=20173958")</f>
        <v>ICTVonline=20173958</v>
      </c>
      <c r="L3621" s="3">
        <v>3620</v>
      </c>
    </row>
    <row r="3622" spans="1:12" x14ac:dyDescent="0.15">
      <c r="A3622" s="1" t="s">
        <v>908</v>
      </c>
      <c r="B3622" s="1" t="s">
        <v>1639</v>
      </c>
      <c r="D3622" s="1" t="s">
        <v>6253</v>
      </c>
      <c r="E3622" s="1" t="s">
        <v>5045</v>
      </c>
      <c r="F3622" s="3">
        <v>1</v>
      </c>
      <c r="G3622" s="8" t="s">
        <v>2772</v>
      </c>
      <c r="H3622" s="8" t="s">
        <v>5161</v>
      </c>
      <c r="I3622" s="3">
        <v>32</v>
      </c>
      <c r="J3622" s="3" t="s">
        <v>6251</v>
      </c>
      <c r="K3622" s="17" t="str">
        <f>HYPERLINK("http://ictvonline.org/taxonomyHistory.asp?taxnode_id=20173962","ICTVonline=20173962")</f>
        <v>ICTVonline=20173962</v>
      </c>
      <c r="L3622" s="3">
        <v>3621</v>
      </c>
    </row>
    <row r="3623" spans="1:12" x14ac:dyDescent="0.15">
      <c r="A3623" s="1" t="s">
        <v>908</v>
      </c>
      <c r="B3623" s="1" t="s">
        <v>1639</v>
      </c>
      <c r="D3623" s="1" t="s">
        <v>6254</v>
      </c>
      <c r="E3623" s="1" t="s">
        <v>830</v>
      </c>
      <c r="F3623" s="3">
        <v>1</v>
      </c>
      <c r="G3623" s="8" t="s">
        <v>2772</v>
      </c>
      <c r="H3623" s="8" t="s">
        <v>5161</v>
      </c>
      <c r="I3623" s="3">
        <v>32</v>
      </c>
      <c r="J3623" s="3" t="s">
        <v>6251</v>
      </c>
      <c r="K3623" s="17" t="str">
        <f>HYPERLINK("http://ictvonline.org/taxonomyHistory.asp?taxnode_id=20173960","ICTVonline=20173960")</f>
        <v>ICTVonline=20173960</v>
      </c>
      <c r="L3623" s="3">
        <v>3622</v>
      </c>
    </row>
    <row r="3624" spans="1:12" x14ac:dyDescent="0.15">
      <c r="A3624" s="1" t="s">
        <v>908</v>
      </c>
      <c r="B3624" s="1" t="s">
        <v>1639</v>
      </c>
      <c r="D3624" s="1" t="s">
        <v>831</v>
      </c>
      <c r="E3624" s="1" t="s">
        <v>6255</v>
      </c>
      <c r="F3624" s="3">
        <v>1</v>
      </c>
      <c r="G3624" s="8" t="s">
        <v>2772</v>
      </c>
      <c r="H3624" s="8" t="s">
        <v>5162</v>
      </c>
      <c r="I3624" s="3">
        <v>32</v>
      </c>
      <c r="J3624" s="3" t="s">
        <v>6251</v>
      </c>
      <c r="K3624" s="17" t="str">
        <f>HYPERLINK("http://ictvonline.org/taxonomyHistory.asp?taxnode_id=20173964","ICTVonline=20173964")</f>
        <v>ICTVonline=20173964</v>
      </c>
      <c r="L3624" s="3">
        <v>3623</v>
      </c>
    </row>
    <row r="3625" spans="1:12" x14ac:dyDescent="0.15">
      <c r="A3625" s="1" t="s">
        <v>908</v>
      </c>
      <c r="B3625" s="1" t="s">
        <v>1639</v>
      </c>
      <c r="D3625" s="1" t="s">
        <v>2290</v>
      </c>
      <c r="E3625" s="1" t="s">
        <v>6256</v>
      </c>
      <c r="F3625" s="3">
        <v>0</v>
      </c>
      <c r="G3625" s="8" t="s">
        <v>2772</v>
      </c>
      <c r="H3625" s="8" t="s">
        <v>5162</v>
      </c>
      <c r="I3625" s="3">
        <v>32</v>
      </c>
      <c r="J3625" s="3" t="s">
        <v>6251</v>
      </c>
      <c r="K3625" s="17" t="str">
        <f>HYPERLINK("http://ictvonline.org/taxonomyHistory.asp?taxnode_id=20173966","ICTVonline=20173966")</f>
        <v>ICTVonline=20173966</v>
      </c>
      <c r="L3625" s="3">
        <v>3624</v>
      </c>
    </row>
    <row r="3626" spans="1:12" x14ac:dyDescent="0.15">
      <c r="A3626" s="1" t="s">
        <v>908</v>
      </c>
      <c r="B3626" s="1" t="s">
        <v>1639</v>
      </c>
      <c r="D3626" s="1" t="s">
        <v>2290</v>
      </c>
      <c r="E3626" s="1" t="s">
        <v>6257</v>
      </c>
      <c r="F3626" s="3">
        <v>1</v>
      </c>
      <c r="G3626" s="8" t="s">
        <v>2772</v>
      </c>
      <c r="H3626" s="8" t="s">
        <v>5162</v>
      </c>
      <c r="I3626" s="3">
        <v>32</v>
      </c>
      <c r="J3626" s="3" t="s">
        <v>6251</v>
      </c>
      <c r="K3626" s="17" t="str">
        <f>HYPERLINK("http://ictvonline.org/taxonomyHistory.asp?taxnode_id=20173967","ICTVonline=20173967")</f>
        <v>ICTVonline=20173967</v>
      </c>
      <c r="L3626" s="3">
        <v>3625</v>
      </c>
    </row>
    <row r="3627" spans="1:12" x14ac:dyDescent="0.15">
      <c r="A3627" s="1" t="s">
        <v>908</v>
      </c>
      <c r="B3627" s="1" t="s">
        <v>1639</v>
      </c>
      <c r="D3627" s="1" t="s">
        <v>832</v>
      </c>
      <c r="E3627" s="1" t="s">
        <v>6258</v>
      </c>
      <c r="F3627" s="3">
        <v>0</v>
      </c>
      <c r="G3627" s="8" t="s">
        <v>2772</v>
      </c>
      <c r="H3627" s="8" t="s">
        <v>5162</v>
      </c>
      <c r="I3627" s="3">
        <v>32</v>
      </c>
      <c r="J3627" s="3" t="s">
        <v>6251</v>
      </c>
      <c r="K3627" s="17" t="str">
        <f>HYPERLINK("http://ictvonline.org/taxonomyHistory.asp?taxnode_id=20173969","ICTVonline=20173969")</f>
        <v>ICTVonline=20173969</v>
      </c>
      <c r="L3627" s="3">
        <v>3626</v>
      </c>
    </row>
    <row r="3628" spans="1:12" x14ac:dyDescent="0.15">
      <c r="A3628" s="1" t="s">
        <v>908</v>
      </c>
      <c r="B3628" s="1" t="s">
        <v>1639</v>
      </c>
      <c r="D3628" s="1" t="s">
        <v>832</v>
      </c>
      <c r="E3628" s="1" t="s">
        <v>6259</v>
      </c>
      <c r="F3628" s="3">
        <v>1</v>
      </c>
      <c r="G3628" s="8" t="s">
        <v>2772</v>
      </c>
      <c r="H3628" s="8" t="s">
        <v>5162</v>
      </c>
      <c r="I3628" s="3">
        <v>32</v>
      </c>
      <c r="J3628" s="3" t="s">
        <v>6251</v>
      </c>
      <c r="K3628" s="17" t="str">
        <f>HYPERLINK("http://ictvonline.org/taxonomyHistory.asp?taxnode_id=20173970","ICTVonline=20173970")</f>
        <v>ICTVonline=20173970</v>
      </c>
      <c r="L3628" s="3">
        <v>3627</v>
      </c>
    </row>
    <row r="3629" spans="1:12" x14ac:dyDescent="0.15">
      <c r="A3629" s="1" t="s">
        <v>908</v>
      </c>
      <c r="B3629" s="1" t="s">
        <v>833</v>
      </c>
      <c r="C3629" s="1" t="s">
        <v>6260</v>
      </c>
      <c r="D3629" s="1" t="s">
        <v>834</v>
      </c>
      <c r="E3629" s="1" t="s">
        <v>107</v>
      </c>
      <c r="F3629" s="3">
        <v>1</v>
      </c>
      <c r="G3629" s="8" t="s">
        <v>2771</v>
      </c>
      <c r="H3629" s="8" t="s">
        <v>5161</v>
      </c>
      <c r="I3629" s="3">
        <v>32</v>
      </c>
      <c r="J3629" s="3" t="s">
        <v>6261</v>
      </c>
      <c r="K3629" s="17" t="str">
        <f>HYPERLINK("http://ictvonline.org/taxonomyHistory.asp?taxnode_id=20173974","ICTVonline=20173974")</f>
        <v>ICTVonline=20173974</v>
      </c>
      <c r="L3629" s="3">
        <v>3628</v>
      </c>
    </row>
    <row r="3630" spans="1:12" x14ac:dyDescent="0.15">
      <c r="A3630" s="1" t="s">
        <v>908</v>
      </c>
      <c r="B3630" s="1" t="s">
        <v>833</v>
      </c>
      <c r="C3630" s="1" t="s">
        <v>6260</v>
      </c>
      <c r="D3630" s="1" t="s">
        <v>834</v>
      </c>
      <c r="E3630" s="1" t="s">
        <v>113</v>
      </c>
      <c r="F3630" s="3">
        <v>0</v>
      </c>
      <c r="G3630" s="8" t="s">
        <v>2771</v>
      </c>
      <c r="H3630" s="8" t="s">
        <v>5161</v>
      </c>
      <c r="I3630" s="3">
        <v>32</v>
      </c>
      <c r="J3630" s="3" t="s">
        <v>6261</v>
      </c>
      <c r="K3630" s="17" t="str">
        <f>HYPERLINK("http://ictvonline.org/taxonomyHistory.asp?taxnode_id=20173975","ICTVonline=20173975")</f>
        <v>ICTVonline=20173975</v>
      </c>
      <c r="L3630" s="3">
        <v>3629</v>
      </c>
    </row>
    <row r="3631" spans="1:12" x14ac:dyDescent="0.15">
      <c r="A3631" s="1" t="s">
        <v>908</v>
      </c>
      <c r="B3631" s="1" t="s">
        <v>833</v>
      </c>
      <c r="C3631" s="1" t="s">
        <v>6260</v>
      </c>
      <c r="D3631" s="1" t="s">
        <v>834</v>
      </c>
      <c r="E3631" s="1" t="s">
        <v>114</v>
      </c>
      <c r="F3631" s="3">
        <v>0</v>
      </c>
      <c r="G3631" s="8" t="s">
        <v>2771</v>
      </c>
      <c r="H3631" s="8" t="s">
        <v>5161</v>
      </c>
      <c r="I3631" s="3">
        <v>32</v>
      </c>
      <c r="J3631" s="3" t="s">
        <v>6261</v>
      </c>
      <c r="K3631" s="17" t="str">
        <f>HYPERLINK("http://ictvonline.org/taxonomyHistory.asp?taxnode_id=20173976","ICTVonline=20173976")</f>
        <v>ICTVonline=20173976</v>
      </c>
      <c r="L3631" s="3">
        <v>3630</v>
      </c>
    </row>
    <row r="3632" spans="1:12" x14ac:dyDescent="0.15">
      <c r="A3632" s="1" t="s">
        <v>908</v>
      </c>
      <c r="B3632" s="1" t="s">
        <v>833</v>
      </c>
      <c r="C3632" s="1" t="s">
        <v>6260</v>
      </c>
      <c r="D3632" s="1" t="s">
        <v>834</v>
      </c>
      <c r="E3632" s="1" t="s">
        <v>115</v>
      </c>
      <c r="F3632" s="3">
        <v>0</v>
      </c>
      <c r="G3632" s="8" t="s">
        <v>2771</v>
      </c>
      <c r="H3632" s="8" t="s">
        <v>5161</v>
      </c>
      <c r="I3632" s="3">
        <v>32</v>
      </c>
      <c r="J3632" s="3" t="s">
        <v>6261</v>
      </c>
      <c r="K3632" s="17" t="str">
        <f>HYPERLINK("http://ictvonline.org/taxonomyHistory.asp?taxnode_id=20173977","ICTVonline=20173977")</f>
        <v>ICTVonline=20173977</v>
      </c>
      <c r="L3632" s="3">
        <v>3631</v>
      </c>
    </row>
    <row r="3633" spans="1:12" x14ac:dyDescent="0.15">
      <c r="A3633" s="1" t="s">
        <v>908</v>
      </c>
      <c r="B3633" s="1" t="s">
        <v>833</v>
      </c>
      <c r="C3633" s="1" t="s">
        <v>6260</v>
      </c>
      <c r="D3633" s="1" t="s">
        <v>834</v>
      </c>
      <c r="E3633" s="1" t="s">
        <v>116</v>
      </c>
      <c r="F3633" s="3">
        <v>0</v>
      </c>
      <c r="G3633" s="8" t="s">
        <v>2771</v>
      </c>
      <c r="H3633" s="8" t="s">
        <v>5161</v>
      </c>
      <c r="I3633" s="3">
        <v>32</v>
      </c>
      <c r="J3633" s="3" t="s">
        <v>6261</v>
      </c>
      <c r="K3633" s="17" t="str">
        <f>HYPERLINK("http://ictvonline.org/taxonomyHistory.asp?taxnode_id=20173978","ICTVonline=20173978")</f>
        <v>ICTVonline=20173978</v>
      </c>
      <c r="L3633" s="3">
        <v>3632</v>
      </c>
    </row>
    <row r="3634" spans="1:12" x14ac:dyDescent="0.15">
      <c r="A3634" s="1" t="s">
        <v>908</v>
      </c>
      <c r="B3634" s="1" t="s">
        <v>833</v>
      </c>
      <c r="C3634" s="1" t="s">
        <v>6260</v>
      </c>
      <c r="D3634" s="1" t="s">
        <v>834</v>
      </c>
      <c r="E3634" s="1" t="s">
        <v>117</v>
      </c>
      <c r="F3634" s="3">
        <v>0</v>
      </c>
      <c r="G3634" s="8" t="s">
        <v>2771</v>
      </c>
      <c r="H3634" s="8" t="s">
        <v>5161</v>
      </c>
      <c r="I3634" s="3">
        <v>32</v>
      </c>
      <c r="J3634" s="3" t="s">
        <v>6261</v>
      </c>
      <c r="K3634" s="17" t="str">
        <f>HYPERLINK("http://ictvonline.org/taxonomyHistory.asp?taxnode_id=20173979","ICTVonline=20173979")</f>
        <v>ICTVonline=20173979</v>
      </c>
      <c r="L3634" s="3">
        <v>3633</v>
      </c>
    </row>
    <row r="3635" spans="1:12" x14ac:dyDescent="0.15">
      <c r="A3635" s="1" t="s">
        <v>908</v>
      </c>
      <c r="B3635" s="1" t="s">
        <v>833</v>
      </c>
      <c r="C3635" s="1" t="s">
        <v>6260</v>
      </c>
      <c r="D3635" s="1" t="s">
        <v>834</v>
      </c>
      <c r="E3635" s="1" t="s">
        <v>118</v>
      </c>
      <c r="F3635" s="3">
        <v>0</v>
      </c>
      <c r="G3635" s="8" t="s">
        <v>2771</v>
      </c>
      <c r="H3635" s="8" t="s">
        <v>5161</v>
      </c>
      <c r="I3635" s="3">
        <v>32</v>
      </c>
      <c r="J3635" s="3" t="s">
        <v>6261</v>
      </c>
      <c r="K3635" s="17" t="str">
        <f>HYPERLINK("http://ictvonline.org/taxonomyHistory.asp?taxnode_id=20173980","ICTVonline=20173980")</f>
        <v>ICTVonline=20173980</v>
      </c>
      <c r="L3635" s="3">
        <v>3634</v>
      </c>
    </row>
    <row r="3636" spans="1:12" x14ac:dyDescent="0.15">
      <c r="A3636" s="1" t="s">
        <v>908</v>
      </c>
      <c r="B3636" s="1" t="s">
        <v>833</v>
      </c>
      <c r="C3636" s="1" t="s">
        <v>6260</v>
      </c>
      <c r="D3636" s="1" t="s">
        <v>834</v>
      </c>
      <c r="E3636" s="1" t="s">
        <v>119</v>
      </c>
      <c r="F3636" s="3">
        <v>0</v>
      </c>
      <c r="G3636" s="8" t="s">
        <v>2771</v>
      </c>
      <c r="H3636" s="8" t="s">
        <v>5161</v>
      </c>
      <c r="I3636" s="3">
        <v>32</v>
      </c>
      <c r="J3636" s="3" t="s">
        <v>6261</v>
      </c>
      <c r="K3636" s="17" t="str">
        <f>HYPERLINK("http://ictvonline.org/taxonomyHistory.asp?taxnode_id=20173981","ICTVonline=20173981")</f>
        <v>ICTVonline=20173981</v>
      </c>
      <c r="L3636" s="3">
        <v>3635</v>
      </c>
    </row>
    <row r="3637" spans="1:12" x14ac:dyDescent="0.15">
      <c r="A3637" s="1" t="s">
        <v>908</v>
      </c>
      <c r="B3637" s="1" t="s">
        <v>833</v>
      </c>
      <c r="C3637" s="1" t="s">
        <v>6260</v>
      </c>
      <c r="D3637" s="1" t="s">
        <v>834</v>
      </c>
      <c r="E3637" s="1" t="s">
        <v>120</v>
      </c>
      <c r="F3637" s="3">
        <v>0</v>
      </c>
      <c r="G3637" s="8" t="s">
        <v>2771</v>
      </c>
      <c r="H3637" s="8" t="s">
        <v>5161</v>
      </c>
      <c r="I3637" s="3">
        <v>32</v>
      </c>
      <c r="J3637" s="3" t="s">
        <v>6261</v>
      </c>
      <c r="K3637" s="17" t="str">
        <f>HYPERLINK("http://ictvonline.org/taxonomyHistory.asp?taxnode_id=20173982","ICTVonline=20173982")</f>
        <v>ICTVonline=20173982</v>
      </c>
      <c r="L3637" s="3">
        <v>3636</v>
      </c>
    </row>
    <row r="3638" spans="1:12" x14ac:dyDescent="0.15">
      <c r="A3638" s="1" t="s">
        <v>908</v>
      </c>
      <c r="B3638" s="1" t="s">
        <v>833</v>
      </c>
      <c r="C3638" s="1" t="s">
        <v>6260</v>
      </c>
      <c r="D3638" s="1" t="s">
        <v>834</v>
      </c>
      <c r="E3638" s="1" t="s">
        <v>108</v>
      </c>
      <c r="F3638" s="3">
        <v>0</v>
      </c>
      <c r="G3638" s="8" t="s">
        <v>2771</v>
      </c>
      <c r="H3638" s="8" t="s">
        <v>5161</v>
      </c>
      <c r="I3638" s="3">
        <v>32</v>
      </c>
      <c r="J3638" s="3" t="s">
        <v>6261</v>
      </c>
      <c r="K3638" s="17" t="str">
        <f>HYPERLINK("http://ictvonline.org/taxonomyHistory.asp?taxnode_id=20173983","ICTVonline=20173983")</f>
        <v>ICTVonline=20173983</v>
      </c>
      <c r="L3638" s="3">
        <v>3637</v>
      </c>
    </row>
    <row r="3639" spans="1:12" x14ac:dyDescent="0.15">
      <c r="A3639" s="1" t="s">
        <v>908</v>
      </c>
      <c r="B3639" s="1" t="s">
        <v>833</v>
      </c>
      <c r="C3639" s="1" t="s">
        <v>6260</v>
      </c>
      <c r="D3639" s="1" t="s">
        <v>834</v>
      </c>
      <c r="E3639" s="1" t="s">
        <v>109</v>
      </c>
      <c r="F3639" s="3">
        <v>0</v>
      </c>
      <c r="G3639" s="8" t="s">
        <v>2771</v>
      </c>
      <c r="H3639" s="8" t="s">
        <v>5161</v>
      </c>
      <c r="I3639" s="3">
        <v>32</v>
      </c>
      <c r="J3639" s="3" t="s">
        <v>6261</v>
      </c>
      <c r="K3639" s="17" t="str">
        <f>HYPERLINK("http://ictvonline.org/taxonomyHistory.asp?taxnode_id=20173984","ICTVonline=20173984")</f>
        <v>ICTVonline=20173984</v>
      </c>
      <c r="L3639" s="3">
        <v>3638</v>
      </c>
    </row>
    <row r="3640" spans="1:12" x14ac:dyDescent="0.15">
      <c r="A3640" s="1" t="s">
        <v>908</v>
      </c>
      <c r="B3640" s="1" t="s">
        <v>833</v>
      </c>
      <c r="C3640" s="1" t="s">
        <v>6260</v>
      </c>
      <c r="D3640" s="1" t="s">
        <v>834</v>
      </c>
      <c r="E3640" s="1" t="s">
        <v>110</v>
      </c>
      <c r="F3640" s="3">
        <v>0</v>
      </c>
      <c r="G3640" s="8" t="s">
        <v>2771</v>
      </c>
      <c r="H3640" s="8" t="s">
        <v>5161</v>
      </c>
      <c r="I3640" s="3">
        <v>32</v>
      </c>
      <c r="J3640" s="3" t="s">
        <v>6261</v>
      </c>
      <c r="K3640" s="17" t="str">
        <f>HYPERLINK("http://ictvonline.org/taxonomyHistory.asp?taxnode_id=20173985","ICTVonline=20173985")</f>
        <v>ICTVonline=20173985</v>
      </c>
      <c r="L3640" s="3">
        <v>3639</v>
      </c>
    </row>
    <row r="3641" spans="1:12" x14ac:dyDescent="0.15">
      <c r="A3641" s="1" t="s">
        <v>908</v>
      </c>
      <c r="B3641" s="1" t="s">
        <v>833</v>
      </c>
      <c r="C3641" s="1" t="s">
        <v>6260</v>
      </c>
      <c r="D3641" s="1" t="s">
        <v>834</v>
      </c>
      <c r="E3641" s="1" t="s">
        <v>111</v>
      </c>
      <c r="F3641" s="3">
        <v>0</v>
      </c>
      <c r="G3641" s="8" t="s">
        <v>2771</v>
      </c>
      <c r="H3641" s="8" t="s">
        <v>5161</v>
      </c>
      <c r="I3641" s="3">
        <v>32</v>
      </c>
      <c r="J3641" s="3" t="s">
        <v>6261</v>
      </c>
      <c r="K3641" s="17" t="str">
        <f>HYPERLINK("http://ictvonline.org/taxonomyHistory.asp?taxnode_id=20173986","ICTVonline=20173986")</f>
        <v>ICTVonline=20173986</v>
      </c>
      <c r="L3641" s="3">
        <v>3640</v>
      </c>
    </row>
    <row r="3642" spans="1:12" x14ac:dyDescent="0.15">
      <c r="A3642" s="1" t="s">
        <v>908</v>
      </c>
      <c r="B3642" s="1" t="s">
        <v>833</v>
      </c>
      <c r="C3642" s="1" t="s">
        <v>6260</v>
      </c>
      <c r="D3642" s="1" t="s">
        <v>834</v>
      </c>
      <c r="E3642" s="1" t="s">
        <v>112</v>
      </c>
      <c r="F3642" s="3">
        <v>0</v>
      </c>
      <c r="G3642" s="8" t="s">
        <v>2771</v>
      </c>
      <c r="H3642" s="8" t="s">
        <v>5161</v>
      </c>
      <c r="I3642" s="3">
        <v>32</v>
      </c>
      <c r="J3642" s="3" t="s">
        <v>6261</v>
      </c>
      <c r="K3642" s="17" t="str">
        <f>HYPERLINK("http://ictvonline.org/taxonomyHistory.asp?taxnode_id=20173987","ICTVonline=20173987")</f>
        <v>ICTVonline=20173987</v>
      </c>
      <c r="L3642" s="3">
        <v>3641</v>
      </c>
    </row>
    <row r="3643" spans="1:12" x14ac:dyDescent="0.15">
      <c r="A3643" s="1" t="s">
        <v>908</v>
      </c>
      <c r="B3643" s="1" t="s">
        <v>833</v>
      </c>
      <c r="C3643" s="1" t="s">
        <v>6260</v>
      </c>
      <c r="D3643" s="1" t="s">
        <v>867</v>
      </c>
      <c r="E3643" s="1" t="s">
        <v>121</v>
      </c>
      <c r="F3643" s="3">
        <v>1</v>
      </c>
      <c r="G3643" s="8" t="s">
        <v>2771</v>
      </c>
      <c r="H3643" s="8" t="s">
        <v>5161</v>
      </c>
      <c r="I3643" s="3">
        <v>32</v>
      </c>
      <c r="J3643" s="3" t="s">
        <v>6261</v>
      </c>
      <c r="K3643" s="17" t="str">
        <f>HYPERLINK("http://ictvonline.org/taxonomyHistory.asp?taxnode_id=20173989","ICTVonline=20173989")</f>
        <v>ICTVonline=20173989</v>
      </c>
      <c r="L3643" s="3">
        <v>3642</v>
      </c>
    </row>
    <row r="3644" spans="1:12" x14ac:dyDescent="0.15">
      <c r="A3644" s="1" t="s">
        <v>908</v>
      </c>
      <c r="B3644" s="1" t="s">
        <v>833</v>
      </c>
      <c r="C3644" s="1" t="s">
        <v>6260</v>
      </c>
      <c r="D3644" s="1" t="s">
        <v>867</v>
      </c>
      <c r="E3644" s="1" t="s">
        <v>122</v>
      </c>
      <c r="F3644" s="3">
        <v>0</v>
      </c>
      <c r="G3644" s="8" t="s">
        <v>2771</v>
      </c>
      <c r="H3644" s="8" t="s">
        <v>5161</v>
      </c>
      <c r="I3644" s="3">
        <v>32</v>
      </c>
      <c r="J3644" s="3" t="s">
        <v>6261</v>
      </c>
      <c r="K3644" s="17" t="str">
        <f>HYPERLINK("http://ictvonline.org/taxonomyHistory.asp?taxnode_id=20173990","ICTVonline=20173990")</f>
        <v>ICTVonline=20173990</v>
      </c>
      <c r="L3644" s="3">
        <v>3643</v>
      </c>
    </row>
    <row r="3645" spans="1:12" x14ac:dyDescent="0.15">
      <c r="A3645" s="1" t="s">
        <v>908</v>
      </c>
      <c r="B3645" s="1" t="s">
        <v>833</v>
      </c>
      <c r="C3645" s="1" t="s">
        <v>6260</v>
      </c>
      <c r="D3645" s="1" t="s">
        <v>867</v>
      </c>
      <c r="E3645" s="1" t="s">
        <v>123</v>
      </c>
      <c r="F3645" s="3">
        <v>0</v>
      </c>
      <c r="G3645" s="8" t="s">
        <v>2771</v>
      </c>
      <c r="H3645" s="8" t="s">
        <v>5161</v>
      </c>
      <c r="I3645" s="3">
        <v>32</v>
      </c>
      <c r="J3645" s="3" t="s">
        <v>6261</v>
      </c>
      <c r="K3645" s="17" t="str">
        <f>HYPERLINK("http://ictvonline.org/taxonomyHistory.asp?taxnode_id=20173991","ICTVonline=20173991")</f>
        <v>ICTVonline=20173991</v>
      </c>
      <c r="L3645" s="3">
        <v>3644</v>
      </c>
    </row>
    <row r="3646" spans="1:12" x14ac:dyDescent="0.15">
      <c r="A3646" s="1" t="s">
        <v>908</v>
      </c>
      <c r="B3646" s="1" t="s">
        <v>833</v>
      </c>
      <c r="C3646" s="1" t="s">
        <v>6260</v>
      </c>
      <c r="D3646" s="1" t="s">
        <v>867</v>
      </c>
      <c r="E3646" s="1" t="s">
        <v>124</v>
      </c>
      <c r="F3646" s="3">
        <v>0</v>
      </c>
      <c r="G3646" s="8" t="s">
        <v>2771</v>
      </c>
      <c r="H3646" s="8" t="s">
        <v>5161</v>
      </c>
      <c r="I3646" s="3">
        <v>32</v>
      </c>
      <c r="J3646" s="3" t="s">
        <v>6261</v>
      </c>
      <c r="K3646" s="17" t="str">
        <f>HYPERLINK("http://ictvonline.org/taxonomyHistory.asp?taxnode_id=20173992","ICTVonline=20173992")</f>
        <v>ICTVonline=20173992</v>
      </c>
      <c r="L3646" s="3">
        <v>3645</v>
      </c>
    </row>
    <row r="3647" spans="1:12" x14ac:dyDescent="0.15">
      <c r="A3647" s="1" t="s">
        <v>908</v>
      </c>
      <c r="B3647" s="1" t="s">
        <v>833</v>
      </c>
      <c r="C3647" s="1" t="s">
        <v>6260</v>
      </c>
      <c r="D3647" s="1" t="s">
        <v>867</v>
      </c>
      <c r="E3647" s="1" t="s">
        <v>125</v>
      </c>
      <c r="F3647" s="3">
        <v>0</v>
      </c>
      <c r="G3647" s="8" t="s">
        <v>2771</v>
      </c>
      <c r="H3647" s="8" t="s">
        <v>5161</v>
      </c>
      <c r="I3647" s="3">
        <v>32</v>
      </c>
      <c r="J3647" s="3" t="s">
        <v>6261</v>
      </c>
      <c r="K3647" s="17" t="str">
        <f>HYPERLINK("http://ictvonline.org/taxonomyHistory.asp?taxnode_id=20173993","ICTVonline=20173993")</f>
        <v>ICTVonline=20173993</v>
      </c>
      <c r="L3647" s="3">
        <v>3646</v>
      </c>
    </row>
    <row r="3648" spans="1:12" x14ac:dyDescent="0.15">
      <c r="A3648" s="1" t="s">
        <v>908</v>
      </c>
      <c r="B3648" s="1" t="s">
        <v>833</v>
      </c>
      <c r="C3648" s="1" t="s">
        <v>6260</v>
      </c>
      <c r="D3648" s="1" t="s">
        <v>867</v>
      </c>
      <c r="E3648" s="1" t="s">
        <v>126</v>
      </c>
      <c r="F3648" s="3">
        <v>0</v>
      </c>
      <c r="G3648" s="8" t="s">
        <v>2771</v>
      </c>
      <c r="H3648" s="8" t="s">
        <v>5161</v>
      </c>
      <c r="I3648" s="3">
        <v>32</v>
      </c>
      <c r="J3648" s="3" t="s">
        <v>6261</v>
      </c>
      <c r="K3648" s="17" t="str">
        <f>HYPERLINK("http://ictvonline.org/taxonomyHistory.asp?taxnode_id=20173994","ICTVonline=20173994")</f>
        <v>ICTVonline=20173994</v>
      </c>
      <c r="L3648" s="3">
        <v>3647</v>
      </c>
    </row>
    <row r="3649" spans="1:12" x14ac:dyDescent="0.15">
      <c r="A3649" s="1" t="s">
        <v>908</v>
      </c>
      <c r="B3649" s="1" t="s">
        <v>833</v>
      </c>
      <c r="C3649" s="1" t="s">
        <v>6260</v>
      </c>
      <c r="D3649" s="1" t="s">
        <v>127</v>
      </c>
      <c r="E3649" s="1" t="s">
        <v>128</v>
      </c>
      <c r="F3649" s="3">
        <v>1</v>
      </c>
      <c r="G3649" s="8" t="s">
        <v>2771</v>
      </c>
      <c r="H3649" s="8" t="s">
        <v>5161</v>
      </c>
      <c r="I3649" s="3">
        <v>32</v>
      </c>
      <c r="J3649" s="3" t="s">
        <v>6261</v>
      </c>
      <c r="K3649" s="17" t="str">
        <f>HYPERLINK("http://ictvonline.org/taxonomyHistory.asp?taxnode_id=20173996","ICTVonline=20173996")</f>
        <v>ICTVonline=20173996</v>
      </c>
      <c r="L3649" s="3">
        <v>3648</v>
      </c>
    </row>
    <row r="3650" spans="1:12" x14ac:dyDescent="0.15">
      <c r="A3650" s="1" t="s">
        <v>908</v>
      </c>
      <c r="B3650" s="1" t="s">
        <v>833</v>
      </c>
      <c r="C3650" s="1" t="s">
        <v>6260</v>
      </c>
      <c r="D3650" s="1" t="s">
        <v>127</v>
      </c>
      <c r="E3650" s="1" t="s">
        <v>129</v>
      </c>
      <c r="F3650" s="3">
        <v>0</v>
      </c>
      <c r="G3650" s="8" t="s">
        <v>2771</v>
      </c>
      <c r="H3650" s="8" t="s">
        <v>5161</v>
      </c>
      <c r="I3650" s="3">
        <v>32</v>
      </c>
      <c r="J3650" s="3" t="s">
        <v>6261</v>
      </c>
      <c r="K3650" s="17" t="str">
        <f>HYPERLINK("http://ictvonline.org/taxonomyHistory.asp?taxnode_id=20173997","ICTVonline=20173997")</f>
        <v>ICTVonline=20173997</v>
      </c>
      <c r="L3650" s="3">
        <v>3649</v>
      </c>
    </row>
    <row r="3651" spans="1:12" x14ac:dyDescent="0.15">
      <c r="A3651" s="1" t="s">
        <v>908</v>
      </c>
      <c r="B3651" s="1" t="s">
        <v>833</v>
      </c>
      <c r="C3651" s="1" t="s">
        <v>6260</v>
      </c>
      <c r="D3651" s="1" t="s">
        <v>127</v>
      </c>
      <c r="E3651" s="1" t="s">
        <v>2507</v>
      </c>
      <c r="F3651" s="3">
        <v>0</v>
      </c>
      <c r="G3651" s="8" t="s">
        <v>2771</v>
      </c>
      <c r="H3651" s="8" t="s">
        <v>5161</v>
      </c>
      <c r="I3651" s="3">
        <v>32</v>
      </c>
      <c r="J3651" s="3" t="s">
        <v>6261</v>
      </c>
      <c r="K3651" s="17" t="str">
        <f>HYPERLINK("http://ictvonline.org/taxonomyHistory.asp?taxnode_id=20173998","ICTVonline=20173998")</f>
        <v>ICTVonline=20173998</v>
      </c>
      <c r="L3651" s="3">
        <v>3650</v>
      </c>
    </row>
    <row r="3652" spans="1:12" x14ac:dyDescent="0.15">
      <c r="A3652" s="1" t="s">
        <v>908</v>
      </c>
      <c r="B3652" s="1" t="s">
        <v>833</v>
      </c>
      <c r="C3652" s="1" t="s">
        <v>6260</v>
      </c>
      <c r="D3652" s="1" t="s">
        <v>1899</v>
      </c>
      <c r="E3652" s="1" t="s">
        <v>130</v>
      </c>
      <c r="F3652" s="3">
        <v>1</v>
      </c>
      <c r="G3652" s="8" t="s">
        <v>2771</v>
      </c>
      <c r="H3652" s="8" t="s">
        <v>5161</v>
      </c>
      <c r="I3652" s="3">
        <v>32</v>
      </c>
      <c r="J3652" s="3" t="s">
        <v>6261</v>
      </c>
      <c r="K3652" s="17" t="str">
        <f>HYPERLINK("http://ictvonline.org/taxonomyHistory.asp?taxnode_id=20174000","ICTVonline=20174000")</f>
        <v>ICTVonline=20174000</v>
      </c>
      <c r="L3652" s="3">
        <v>3651</v>
      </c>
    </row>
    <row r="3653" spans="1:12" x14ac:dyDescent="0.15">
      <c r="A3653" s="1" t="s">
        <v>908</v>
      </c>
      <c r="B3653" s="1" t="s">
        <v>833</v>
      </c>
      <c r="C3653" s="1" t="s">
        <v>6260</v>
      </c>
      <c r="D3653" s="1" t="s">
        <v>1899</v>
      </c>
      <c r="E3653" s="1" t="s">
        <v>131</v>
      </c>
      <c r="F3653" s="3">
        <v>0</v>
      </c>
      <c r="G3653" s="8" t="s">
        <v>2771</v>
      </c>
      <c r="H3653" s="8" t="s">
        <v>5161</v>
      </c>
      <c r="I3653" s="3">
        <v>32</v>
      </c>
      <c r="J3653" s="3" t="s">
        <v>6261</v>
      </c>
      <c r="K3653" s="17" t="str">
        <f>HYPERLINK("http://ictvonline.org/taxonomyHistory.asp?taxnode_id=20174001","ICTVonline=20174001")</f>
        <v>ICTVonline=20174001</v>
      </c>
      <c r="L3653" s="3">
        <v>3652</v>
      </c>
    </row>
    <row r="3654" spans="1:12" x14ac:dyDescent="0.15">
      <c r="A3654" s="1" t="s">
        <v>908</v>
      </c>
      <c r="B3654" s="1" t="s">
        <v>833</v>
      </c>
      <c r="C3654" s="1" t="s">
        <v>6260</v>
      </c>
      <c r="D3654" s="1" t="s">
        <v>1899</v>
      </c>
      <c r="E3654" s="1" t="s">
        <v>132</v>
      </c>
      <c r="F3654" s="3">
        <v>0</v>
      </c>
      <c r="G3654" s="8" t="s">
        <v>2771</v>
      </c>
      <c r="H3654" s="8" t="s">
        <v>5161</v>
      </c>
      <c r="I3654" s="3">
        <v>32</v>
      </c>
      <c r="J3654" s="3" t="s">
        <v>6261</v>
      </c>
      <c r="K3654" s="17" t="str">
        <f>HYPERLINK("http://ictvonline.org/taxonomyHistory.asp?taxnode_id=20174002","ICTVonline=20174002")</f>
        <v>ICTVonline=20174002</v>
      </c>
      <c r="L3654" s="3">
        <v>3653</v>
      </c>
    </row>
    <row r="3655" spans="1:12" x14ac:dyDescent="0.15">
      <c r="A3655" s="1" t="s">
        <v>908</v>
      </c>
      <c r="B3655" s="1" t="s">
        <v>833</v>
      </c>
      <c r="C3655" s="1" t="s">
        <v>6260</v>
      </c>
      <c r="D3655" s="1" t="s">
        <v>1899</v>
      </c>
      <c r="E3655" s="1" t="s">
        <v>133</v>
      </c>
      <c r="F3655" s="3">
        <v>0</v>
      </c>
      <c r="G3655" s="8" t="s">
        <v>2771</v>
      </c>
      <c r="H3655" s="8" t="s">
        <v>5161</v>
      </c>
      <c r="I3655" s="3">
        <v>32</v>
      </c>
      <c r="J3655" s="3" t="s">
        <v>6261</v>
      </c>
      <c r="K3655" s="17" t="str">
        <f>HYPERLINK("http://ictvonline.org/taxonomyHistory.asp?taxnode_id=20174003","ICTVonline=20174003")</f>
        <v>ICTVonline=20174003</v>
      </c>
      <c r="L3655" s="3">
        <v>3654</v>
      </c>
    </row>
    <row r="3656" spans="1:12" x14ac:dyDescent="0.15">
      <c r="A3656" s="1" t="s">
        <v>908</v>
      </c>
      <c r="B3656" s="1" t="s">
        <v>833</v>
      </c>
      <c r="C3656" s="1" t="s">
        <v>6260</v>
      </c>
      <c r="D3656" s="1" t="s">
        <v>1899</v>
      </c>
      <c r="E3656" s="1" t="s">
        <v>134</v>
      </c>
      <c r="F3656" s="3">
        <v>0</v>
      </c>
      <c r="G3656" s="8" t="s">
        <v>2771</v>
      </c>
      <c r="H3656" s="8" t="s">
        <v>5161</v>
      </c>
      <c r="I3656" s="3">
        <v>32</v>
      </c>
      <c r="J3656" s="3" t="s">
        <v>6261</v>
      </c>
      <c r="K3656" s="17" t="str">
        <f>HYPERLINK("http://ictvonline.org/taxonomyHistory.asp?taxnode_id=20174004","ICTVonline=20174004")</f>
        <v>ICTVonline=20174004</v>
      </c>
      <c r="L3656" s="3">
        <v>3655</v>
      </c>
    </row>
    <row r="3657" spans="1:12" x14ac:dyDescent="0.15">
      <c r="A3657" s="1" t="s">
        <v>908</v>
      </c>
      <c r="B3657" s="1" t="s">
        <v>833</v>
      </c>
      <c r="C3657" s="1" t="s">
        <v>6260</v>
      </c>
      <c r="D3657" s="1" t="s">
        <v>1899</v>
      </c>
      <c r="E3657" s="1" t="s">
        <v>2508</v>
      </c>
      <c r="F3657" s="3">
        <v>0</v>
      </c>
      <c r="G3657" s="8" t="s">
        <v>2771</v>
      </c>
      <c r="H3657" s="8" t="s">
        <v>5161</v>
      </c>
      <c r="I3657" s="3">
        <v>32</v>
      </c>
      <c r="J3657" s="3" t="s">
        <v>6261</v>
      </c>
      <c r="K3657" s="17" t="str">
        <f>HYPERLINK("http://ictvonline.org/taxonomyHistory.asp?taxnode_id=20174005","ICTVonline=20174005")</f>
        <v>ICTVonline=20174005</v>
      </c>
      <c r="L3657" s="3">
        <v>3656</v>
      </c>
    </row>
    <row r="3658" spans="1:12" x14ac:dyDescent="0.15">
      <c r="A3658" s="1" t="s">
        <v>908</v>
      </c>
      <c r="B3658" s="1" t="s">
        <v>833</v>
      </c>
      <c r="C3658" s="1" t="s">
        <v>6260</v>
      </c>
      <c r="D3658" s="1" t="s">
        <v>1899</v>
      </c>
      <c r="E3658" s="1" t="s">
        <v>6262</v>
      </c>
      <c r="F3658" s="3">
        <v>0</v>
      </c>
      <c r="G3658" s="8" t="s">
        <v>2771</v>
      </c>
      <c r="H3658" s="8" t="s">
        <v>5159</v>
      </c>
      <c r="I3658" s="3">
        <v>32</v>
      </c>
      <c r="J3658" s="3" t="s">
        <v>6261</v>
      </c>
      <c r="K3658" s="17" t="str">
        <f>HYPERLINK("http://ictvonline.org/taxonomyHistory.asp?taxnode_id=20175864","ICTVonline=20175864")</f>
        <v>ICTVonline=20175864</v>
      </c>
      <c r="L3658" s="3">
        <v>3657</v>
      </c>
    </row>
    <row r="3659" spans="1:12" x14ac:dyDescent="0.15">
      <c r="A3659" s="1" t="s">
        <v>908</v>
      </c>
      <c r="B3659" s="1" t="s">
        <v>833</v>
      </c>
      <c r="C3659" s="1" t="s">
        <v>6260</v>
      </c>
      <c r="D3659" s="1" t="s">
        <v>4027</v>
      </c>
      <c r="E3659" s="1" t="s">
        <v>4028</v>
      </c>
      <c r="F3659" s="3">
        <v>1</v>
      </c>
      <c r="G3659" s="8" t="s">
        <v>2771</v>
      </c>
      <c r="H3659" s="8" t="s">
        <v>5161</v>
      </c>
      <c r="I3659" s="3">
        <v>32</v>
      </c>
      <c r="J3659" s="3" t="s">
        <v>6261</v>
      </c>
      <c r="K3659" s="17" t="str">
        <f>HYPERLINK("http://ictvonline.org/taxonomyHistory.asp?taxnode_id=20174007","ICTVonline=20174007")</f>
        <v>ICTVonline=20174007</v>
      </c>
      <c r="L3659" s="3">
        <v>3658</v>
      </c>
    </row>
    <row r="3660" spans="1:12" x14ac:dyDescent="0.15">
      <c r="A3660" s="1" t="s">
        <v>908</v>
      </c>
      <c r="B3660" s="1" t="s">
        <v>833</v>
      </c>
      <c r="C3660" s="1" t="s">
        <v>6260</v>
      </c>
      <c r="D3660" s="1" t="s">
        <v>135</v>
      </c>
      <c r="E3660" s="1" t="s">
        <v>136</v>
      </c>
      <c r="F3660" s="3">
        <v>1</v>
      </c>
      <c r="G3660" s="8" t="s">
        <v>2771</v>
      </c>
      <c r="H3660" s="8" t="s">
        <v>5161</v>
      </c>
      <c r="I3660" s="3">
        <v>32</v>
      </c>
      <c r="J3660" s="3" t="s">
        <v>6261</v>
      </c>
      <c r="K3660" s="17" t="str">
        <f>HYPERLINK("http://ictvonline.org/taxonomyHistory.asp?taxnode_id=20174009","ICTVonline=20174009")</f>
        <v>ICTVonline=20174009</v>
      </c>
      <c r="L3660" s="3">
        <v>3659</v>
      </c>
    </row>
    <row r="3661" spans="1:12" x14ac:dyDescent="0.15">
      <c r="A3661" s="1" t="s">
        <v>908</v>
      </c>
      <c r="B3661" s="1" t="s">
        <v>833</v>
      </c>
      <c r="C3661" s="1" t="s">
        <v>6260</v>
      </c>
      <c r="D3661" s="1" t="s">
        <v>137</v>
      </c>
      <c r="E3661" s="1" t="s">
        <v>138</v>
      </c>
      <c r="F3661" s="3">
        <v>1</v>
      </c>
      <c r="G3661" s="8" t="s">
        <v>2771</v>
      </c>
      <c r="H3661" s="8" t="s">
        <v>5161</v>
      </c>
      <c r="I3661" s="3">
        <v>32</v>
      </c>
      <c r="J3661" s="3" t="s">
        <v>6261</v>
      </c>
      <c r="K3661" s="17" t="str">
        <f>HYPERLINK("http://ictvonline.org/taxonomyHistory.asp?taxnode_id=20174011","ICTVonline=20174011")</f>
        <v>ICTVonline=20174011</v>
      </c>
      <c r="L3661" s="3">
        <v>3660</v>
      </c>
    </row>
    <row r="3662" spans="1:12" x14ac:dyDescent="0.15">
      <c r="A3662" s="1" t="s">
        <v>908</v>
      </c>
      <c r="B3662" s="1" t="s">
        <v>833</v>
      </c>
      <c r="C3662" s="1" t="s">
        <v>6260</v>
      </c>
      <c r="D3662" s="1" t="s">
        <v>139</v>
      </c>
      <c r="E3662" s="1" t="s">
        <v>140</v>
      </c>
      <c r="F3662" s="3">
        <v>1</v>
      </c>
      <c r="G3662" s="8" t="s">
        <v>2771</v>
      </c>
      <c r="H3662" s="8" t="s">
        <v>5161</v>
      </c>
      <c r="I3662" s="3">
        <v>32</v>
      </c>
      <c r="J3662" s="3" t="s">
        <v>6261</v>
      </c>
      <c r="K3662" s="17" t="str">
        <f>HYPERLINK("http://ictvonline.org/taxonomyHistory.asp?taxnode_id=20174013","ICTVonline=20174013")</f>
        <v>ICTVonline=20174013</v>
      </c>
      <c r="L3662" s="3">
        <v>3661</v>
      </c>
    </row>
    <row r="3663" spans="1:12" x14ac:dyDescent="0.15">
      <c r="A3663" s="1" t="s">
        <v>908</v>
      </c>
      <c r="B3663" s="1" t="s">
        <v>833</v>
      </c>
      <c r="C3663" s="1" t="s">
        <v>6260</v>
      </c>
      <c r="D3663" s="1" t="s">
        <v>141</v>
      </c>
      <c r="E3663" s="1" t="s">
        <v>142</v>
      </c>
      <c r="F3663" s="3">
        <v>1</v>
      </c>
      <c r="G3663" s="8" t="s">
        <v>2771</v>
      </c>
      <c r="H3663" s="8" t="s">
        <v>5161</v>
      </c>
      <c r="I3663" s="3">
        <v>32</v>
      </c>
      <c r="J3663" s="3" t="s">
        <v>6261</v>
      </c>
      <c r="K3663" s="17" t="str">
        <f>HYPERLINK("http://ictvonline.org/taxonomyHistory.asp?taxnode_id=20174015","ICTVonline=20174015")</f>
        <v>ICTVonline=20174015</v>
      </c>
      <c r="L3663" s="3">
        <v>3662</v>
      </c>
    </row>
    <row r="3664" spans="1:12" x14ac:dyDescent="0.15">
      <c r="A3664" s="1" t="s">
        <v>908</v>
      </c>
      <c r="B3664" s="1" t="s">
        <v>833</v>
      </c>
      <c r="C3664" s="1" t="s">
        <v>6260</v>
      </c>
      <c r="D3664" s="1" t="s">
        <v>141</v>
      </c>
      <c r="E3664" s="1" t="s">
        <v>2509</v>
      </c>
      <c r="F3664" s="3">
        <v>0</v>
      </c>
      <c r="G3664" s="8" t="s">
        <v>2771</v>
      </c>
      <c r="H3664" s="8" t="s">
        <v>5161</v>
      </c>
      <c r="I3664" s="3">
        <v>32</v>
      </c>
      <c r="J3664" s="3" t="s">
        <v>6261</v>
      </c>
      <c r="K3664" s="17" t="str">
        <f>HYPERLINK("http://ictvonline.org/taxonomyHistory.asp?taxnode_id=20174016","ICTVonline=20174016")</f>
        <v>ICTVonline=20174016</v>
      </c>
      <c r="L3664" s="3">
        <v>3663</v>
      </c>
    </row>
    <row r="3665" spans="1:12" x14ac:dyDescent="0.15">
      <c r="A3665" s="1" t="s">
        <v>908</v>
      </c>
      <c r="B3665" s="1" t="s">
        <v>833</v>
      </c>
      <c r="C3665" s="1" t="s">
        <v>6260</v>
      </c>
      <c r="D3665" s="1" t="s">
        <v>2510</v>
      </c>
      <c r="E3665" s="1" t="s">
        <v>2511</v>
      </c>
      <c r="F3665" s="3">
        <v>1</v>
      </c>
      <c r="G3665" s="8" t="s">
        <v>2771</v>
      </c>
      <c r="H3665" s="8" t="s">
        <v>5161</v>
      </c>
      <c r="I3665" s="3">
        <v>32</v>
      </c>
      <c r="J3665" s="3" t="s">
        <v>6261</v>
      </c>
      <c r="K3665" s="17" t="str">
        <f>HYPERLINK("http://ictvonline.org/taxonomyHistory.asp?taxnode_id=20174018","ICTVonline=20174018")</f>
        <v>ICTVonline=20174018</v>
      </c>
      <c r="L3665" s="3">
        <v>3664</v>
      </c>
    </row>
    <row r="3666" spans="1:12" x14ac:dyDescent="0.15">
      <c r="A3666" s="1" t="s">
        <v>908</v>
      </c>
      <c r="B3666" s="1" t="s">
        <v>833</v>
      </c>
      <c r="C3666" s="1" t="s">
        <v>6260</v>
      </c>
      <c r="D3666" s="1" t="s">
        <v>2510</v>
      </c>
      <c r="E3666" s="1" t="s">
        <v>4029</v>
      </c>
      <c r="F3666" s="3">
        <v>0</v>
      </c>
      <c r="G3666" s="8" t="s">
        <v>2771</v>
      </c>
      <c r="H3666" s="8" t="s">
        <v>5161</v>
      </c>
      <c r="I3666" s="3">
        <v>32</v>
      </c>
      <c r="J3666" s="3" t="s">
        <v>6261</v>
      </c>
      <c r="K3666" s="17" t="str">
        <f>HYPERLINK("http://ictvonline.org/taxonomyHistory.asp?taxnode_id=20174019","ICTVonline=20174019")</f>
        <v>ICTVonline=20174019</v>
      </c>
      <c r="L3666" s="3">
        <v>3665</v>
      </c>
    </row>
    <row r="3667" spans="1:12" x14ac:dyDescent="0.15">
      <c r="A3667" s="1" t="s">
        <v>908</v>
      </c>
      <c r="B3667" s="1" t="s">
        <v>833</v>
      </c>
      <c r="C3667" s="1" t="s">
        <v>6260</v>
      </c>
      <c r="D3667" s="1" t="s">
        <v>2510</v>
      </c>
      <c r="E3667" s="1" t="s">
        <v>6263</v>
      </c>
      <c r="F3667" s="3">
        <v>0</v>
      </c>
      <c r="G3667" s="8" t="s">
        <v>2771</v>
      </c>
      <c r="H3667" s="8" t="s">
        <v>5159</v>
      </c>
      <c r="I3667" s="3">
        <v>32</v>
      </c>
      <c r="J3667" s="3" t="s">
        <v>6261</v>
      </c>
      <c r="K3667" s="17" t="str">
        <f>HYPERLINK("http://ictvonline.org/taxonomyHistory.asp?taxnode_id=20175865","ICTVonline=20175865")</f>
        <v>ICTVonline=20175865</v>
      </c>
      <c r="L3667" s="3">
        <v>3666</v>
      </c>
    </row>
    <row r="3668" spans="1:12" x14ac:dyDescent="0.15">
      <c r="A3668" s="1" t="s">
        <v>908</v>
      </c>
      <c r="B3668" s="1" t="s">
        <v>833</v>
      </c>
      <c r="C3668" s="1" t="s">
        <v>6260</v>
      </c>
      <c r="D3668" s="1" t="s">
        <v>2510</v>
      </c>
      <c r="E3668" s="1" t="s">
        <v>6264</v>
      </c>
      <c r="F3668" s="3">
        <v>0</v>
      </c>
      <c r="G3668" s="8" t="s">
        <v>2771</v>
      </c>
      <c r="H3668" s="8" t="s">
        <v>5159</v>
      </c>
      <c r="I3668" s="3">
        <v>32</v>
      </c>
      <c r="J3668" s="3" t="s">
        <v>6261</v>
      </c>
      <c r="K3668" s="17" t="str">
        <f>HYPERLINK("http://ictvonline.org/taxonomyHistory.asp?taxnode_id=20175866","ICTVonline=20175866")</f>
        <v>ICTVonline=20175866</v>
      </c>
      <c r="L3668" s="3">
        <v>3667</v>
      </c>
    </row>
    <row r="3669" spans="1:12" x14ac:dyDescent="0.15">
      <c r="A3669" s="1" t="s">
        <v>908</v>
      </c>
      <c r="B3669" s="1" t="s">
        <v>833</v>
      </c>
      <c r="C3669" s="1" t="s">
        <v>6260</v>
      </c>
      <c r="D3669" s="1" t="s">
        <v>2510</v>
      </c>
      <c r="E3669" s="1" t="s">
        <v>6265</v>
      </c>
      <c r="F3669" s="3">
        <v>0</v>
      </c>
      <c r="G3669" s="8" t="s">
        <v>2771</v>
      </c>
      <c r="H3669" s="8" t="s">
        <v>5159</v>
      </c>
      <c r="I3669" s="3">
        <v>32</v>
      </c>
      <c r="J3669" s="3" t="s">
        <v>6261</v>
      </c>
      <c r="K3669" s="17" t="str">
        <f>HYPERLINK("http://ictvonline.org/taxonomyHistory.asp?taxnode_id=20175867","ICTVonline=20175867")</f>
        <v>ICTVonline=20175867</v>
      </c>
      <c r="L3669" s="3">
        <v>3668</v>
      </c>
    </row>
    <row r="3670" spans="1:12" x14ac:dyDescent="0.15">
      <c r="A3670" s="1" t="s">
        <v>908</v>
      </c>
      <c r="B3670" s="1" t="s">
        <v>833</v>
      </c>
      <c r="C3670" s="1" t="s">
        <v>6260</v>
      </c>
      <c r="D3670" s="1" t="s">
        <v>2512</v>
      </c>
      <c r="E3670" s="1" t="s">
        <v>2513</v>
      </c>
      <c r="F3670" s="3">
        <v>1</v>
      </c>
      <c r="G3670" s="8" t="s">
        <v>2771</v>
      </c>
      <c r="H3670" s="8" t="s">
        <v>5161</v>
      </c>
      <c r="I3670" s="3">
        <v>32</v>
      </c>
      <c r="J3670" s="3" t="s">
        <v>6261</v>
      </c>
      <c r="K3670" s="17" t="str">
        <f>HYPERLINK("http://ictvonline.org/taxonomyHistory.asp?taxnode_id=20174021","ICTVonline=20174021")</f>
        <v>ICTVonline=20174021</v>
      </c>
      <c r="L3670" s="3">
        <v>3669</v>
      </c>
    </row>
    <row r="3671" spans="1:12" x14ac:dyDescent="0.15">
      <c r="A3671" s="1" t="s">
        <v>908</v>
      </c>
      <c r="B3671" s="1" t="s">
        <v>833</v>
      </c>
      <c r="C3671" s="1" t="s">
        <v>6260</v>
      </c>
      <c r="D3671" s="1" t="s">
        <v>2514</v>
      </c>
      <c r="E3671" s="1" t="s">
        <v>2515</v>
      </c>
      <c r="F3671" s="3">
        <v>1</v>
      </c>
      <c r="G3671" s="8" t="s">
        <v>2771</v>
      </c>
      <c r="H3671" s="8" t="s">
        <v>5161</v>
      </c>
      <c r="I3671" s="3">
        <v>32</v>
      </c>
      <c r="J3671" s="3" t="s">
        <v>6261</v>
      </c>
      <c r="K3671" s="17" t="str">
        <f>HYPERLINK("http://ictvonline.org/taxonomyHistory.asp?taxnode_id=20174023","ICTVonline=20174023")</f>
        <v>ICTVonline=20174023</v>
      </c>
      <c r="L3671" s="3">
        <v>3670</v>
      </c>
    </row>
    <row r="3672" spans="1:12" x14ac:dyDescent="0.15">
      <c r="A3672" s="1" t="s">
        <v>908</v>
      </c>
      <c r="B3672" s="1" t="s">
        <v>833</v>
      </c>
      <c r="C3672" s="1" t="s">
        <v>6260</v>
      </c>
      <c r="D3672" s="1" t="s">
        <v>2516</v>
      </c>
      <c r="E3672" s="1" t="s">
        <v>2517</v>
      </c>
      <c r="F3672" s="3">
        <v>1</v>
      </c>
      <c r="G3672" s="8" t="s">
        <v>2771</v>
      </c>
      <c r="H3672" s="8" t="s">
        <v>5161</v>
      </c>
      <c r="I3672" s="3">
        <v>32</v>
      </c>
      <c r="J3672" s="3" t="s">
        <v>6261</v>
      </c>
      <c r="K3672" s="17" t="str">
        <f>HYPERLINK("http://ictvonline.org/taxonomyHistory.asp?taxnode_id=20174025","ICTVonline=20174025")</f>
        <v>ICTVonline=20174025</v>
      </c>
      <c r="L3672" s="3">
        <v>3671</v>
      </c>
    </row>
    <row r="3673" spans="1:12" x14ac:dyDescent="0.15">
      <c r="A3673" s="1" t="s">
        <v>908</v>
      </c>
      <c r="B3673" s="1" t="s">
        <v>833</v>
      </c>
      <c r="C3673" s="1" t="s">
        <v>6260</v>
      </c>
      <c r="D3673" s="1" t="s">
        <v>4192</v>
      </c>
      <c r="E3673" s="1" t="s">
        <v>4030</v>
      </c>
      <c r="F3673" s="3">
        <v>1</v>
      </c>
      <c r="G3673" s="8" t="s">
        <v>2771</v>
      </c>
      <c r="H3673" s="8" t="s">
        <v>5161</v>
      </c>
      <c r="I3673" s="3">
        <v>32</v>
      </c>
      <c r="J3673" s="3" t="s">
        <v>6261</v>
      </c>
      <c r="K3673" s="17" t="str">
        <f>HYPERLINK("http://ictvonline.org/taxonomyHistory.asp?taxnode_id=20174027","ICTVonline=20174027")</f>
        <v>ICTVonline=20174027</v>
      </c>
      <c r="L3673" s="3">
        <v>3672</v>
      </c>
    </row>
    <row r="3674" spans="1:12" x14ac:dyDescent="0.15">
      <c r="A3674" s="1" t="s">
        <v>908</v>
      </c>
      <c r="B3674" s="1" t="s">
        <v>833</v>
      </c>
      <c r="C3674" s="1" t="s">
        <v>6260</v>
      </c>
      <c r="D3674" s="1" t="s">
        <v>2518</v>
      </c>
      <c r="E3674" s="1" t="s">
        <v>2519</v>
      </c>
      <c r="F3674" s="3">
        <v>1</v>
      </c>
      <c r="G3674" s="8" t="s">
        <v>2771</v>
      </c>
      <c r="H3674" s="8" t="s">
        <v>5161</v>
      </c>
      <c r="I3674" s="3">
        <v>32</v>
      </c>
      <c r="J3674" s="3" t="s">
        <v>6261</v>
      </c>
      <c r="K3674" s="17" t="str">
        <f>HYPERLINK("http://ictvonline.org/taxonomyHistory.asp?taxnode_id=20174029","ICTVonline=20174029")</f>
        <v>ICTVonline=20174029</v>
      </c>
      <c r="L3674" s="3">
        <v>3673</v>
      </c>
    </row>
    <row r="3675" spans="1:12" x14ac:dyDescent="0.15">
      <c r="A3675" s="1" t="s">
        <v>908</v>
      </c>
      <c r="B3675" s="1" t="s">
        <v>833</v>
      </c>
      <c r="C3675" s="1" t="s">
        <v>6260</v>
      </c>
      <c r="D3675" s="1" t="s">
        <v>4031</v>
      </c>
      <c r="E3675" s="1" t="s">
        <v>4032</v>
      </c>
      <c r="F3675" s="3">
        <v>1</v>
      </c>
      <c r="G3675" s="8" t="s">
        <v>2771</v>
      </c>
      <c r="H3675" s="8" t="s">
        <v>5161</v>
      </c>
      <c r="I3675" s="3">
        <v>32</v>
      </c>
      <c r="J3675" s="3" t="s">
        <v>6261</v>
      </c>
      <c r="K3675" s="17" t="str">
        <f>HYPERLINK("http://ictvonline.org/taxonomyHistory.asp?taxnode_id=20174031","ICTVonline=20174031")</f>
        <v>ICTVonline=20174031</v>
      </c>
      <c r="L3675" s="3">
        <v>3674</v>
      </c>
    </row>
    <row r="3676" spans="1:12" x14ac:dyDescent="0.15">
      <c r="A3676" s="1" t="s">
        <v>908</v>
      </c>
      <c r="B3676" s="1" t="s">
        <v>833</v>
      </c>
      <c r="C3676" s="1" t="s">
        <v>6260</v>
      </c>
      <c r="D3676" s="1" t="s">
        <v>2520</v>
      </c>
      <c r="E3676" s="1" t="s">
        <v>2521</v>
      </c>
      <c r="F3676" s="3">
        <v>1</v>
      </c>
      <c r="G3676" s="8" t="s">
        <v>2771</v>
      </c>
      <c r="H3676" s="8" t="s">
        <v>5161</v>
      </c>
      <c r="I3676" s="3">
        <v>32</v>
      </c>
      <c r="J3676" s="3" t="s">
        <v>6261</v>
      </c>
      <c r="K3676" s="17" t="str">
        <f>HYPERLINK("http://ictvonline.org/taxonomyHistory.asp?taxnode_id=20174033","ICTVonline=20174033")</f>
        <v>ICTVonline=20174033</v>
      </c>
      <c r="L3676" s="3">
        <v>3675</v>
      </c>
    </row>
    <row r="3677" spans="1:12" x14ac:dyDescent="0.15">
      <c r="A3677" s="1" t="s">
        <v>908</v>
      </c>
      <c r="B3677" s="1" t="s">
        <v>833</v>
      </c>
      <c r="C3677" s="1" t="s">
        <v>6260</v>
      </c>
      <c r="D3677" s="1" t="s">
        <v>4033</v>
      </c>
      <c r="E3677" s="1" t="s">
        <v>4034</v>
      </c>
      <c r="F3677" s="3">
        <v>1</v>
      </c>
      <c r="G3677" s="8" t="s">
        <v>2771</v>
      </c>
      <c r="H3677" s="8" t="s">
        <v>5161</v>
      </c>
      <c r="I3677" s="3">
        <v>32</v>
      </c>
      <c r="J3677" s="3" t="s">
        <v>6261</v>
      </c>
      <c r="K3677" s="17" t="str">
        <f>HYPERLINK("http://ictvonline.org/taxonomyHistory.asp?taxnode_id=20174035","ICTVonline=20174035")</f>
        <v>ICTVonline=20174035</v>
      </c>
      <c r="L3677" s="3">
        <v>3676</v>
      </c>
    </row>
    <row r="3678" spans="1:12" x14ac:dyDescent="0.15">
      <c r="A3678" s="1" t="s">
        <v>908</v>
      </c>
      <c r="B3678" s="1" t="s">
        <v>833</v>
      </c>
      <c r="C3678" s="1" t="s">
        <v>6260</v>
      </c>
      <c r="D3678" s="1" t="s">
        <v>2522</v>
      </c>
      <c r="E3678" s="1" t="s">
        <v>2523</v>
      </c>
      <c r="F3678" s="3">
        <v>1</v>
      </c>
      <c r="G3678" s="8" t="s">
        <v>2771</v>
      </c>
      <c r="H3678" s="8" t="s">
        <v>5161</v>
      </c>
      <c r="I3678" s="3">
        <v>32</v>
      </c>
      <c r="J3678" s="3" t="s">
        <v>6261</v>
      </c>
      <c r="K3678" s="17" t="str">
        <f>HYPERLINK("http://ictvonline.org/taxonomyHistory.asp?taxnode_id=20174037","ICTVonline=20174037")</f>
        <v>ICTVonline=20174037</v>
      </c>
      <c r="L3678" s="3">
        <v>3677</v>
      </c>
    </row>
    <row r="3679" spans="1:12" x14ac:dyDescent="0.15">
      <c r="A3679" s="1" t="s">
        <v>908</v>
      </c>
      <c r="B3679" s="1" t="s">
        <v>833</v>
      </c>
      <c r="C3679" s="1" t="s">
        <v>6260</v>
      </c>
      <c r="D3679" s="1" t="s">
        <v>2524</v>
      </c>
      <c r="E3679" s="1" t="s">
        <v>2525</v>
      </c>
      <c r="F3679" s="3">
        <v>1</v>
      </c>
      <c r="G3679" s="8" t="s">
        <v>2771</v>
      </c>
      <c r="H3679" s="8" t="s">
        <v>5161</v>
      </c>
      <c r="I3679" s="3">
        <v>32</v>
      </c>
      <c r="J3679" s="3" t="s">
        <v>6261</v>
      </c>
      <c r="K3679" s="17" t="str">
        <f>HYPERLINK("http://ictvonline.org/taxonomyHistory.asp?taxnode_id=20174039","ICTVonline=20174039")</f>
        <v>ICTVonline=20174039</v>
      </c>
      <c r="L3679" s="3">
        <v>3678</v>
      </c>
    </row>
    <row r="3680" spans="1:12" x14ac:dyDescent="0.15">
      <c r="A3680" s="1" t="s">
        <v>908</v>
      </c>
      <c r="B3680" s="1" t="s">
        <v>833</v>
      </c>
      <c r="C3680" s="1" t="s">
        <v>6260</v>
      </c>
      <c r="D3680" s="1" t="s">
        <v>4035</v>
      </c>
      <c r="E3680" s="1" t="s">
        <v>4036</v>
      </c>
      <c r="F3680" s="3">
        <v>1</v>
      </c>
      <c r="G3680" s="8" t="s">
        <v>2771</v>
      </c>
      <c r="H3680" s="8" t="s">
        <v>5161</v>
      </c>
      <c r="I3680" s="3">
        <v>32</v>
      </c>
      <c r="J3680" s="3" t="s">
        <v>6261</v>
      </c>
      <c r="K3680" s="17" t="str">
        <f>HYPERLINK("http://ictvonline.org/taxonomyHistory.asp?taxnode_id=20174041","ICTVonline=20174041")</f>
        <v>ICTVonline=20174041</v>
      </c>
      <c r="L3680" s="3">
        <v>3679</v>
      </c>
    </row>
    <row r="3681" spans="1:12" x14ac:dyDescent="0.15">
      <c r="A3681" s="1" t="s">
        <v>908</v>
      </c>
      <c r="B3681" s="1" t="s">
        <v>833</v>
      </c>
      <c r="C3681" s="1" t="s">
        <v>6260</v>
      </c>
      <c r="D3681" s="1" t="s">
        <v>143</v>
      </c>
      <c r="E3681" s="1" t="s">
        <v>144</v>
      </c>
      <c r="F3681" s="3">
        <v>1</v>
      </c>
      <c r="G3681" s="8" t="s">
        <v>2771</v>
      </c>
      <c r="H3681" s="8" t="s">
        <v>5161</v>
      </c>
      <c r="I3681" s="3">
        <v>32</v>
      </c>
      <c r="J3681" s="3" t="s">
        <v>6261</v>
      </c>
      <c r="K3681" s="17" t="str">
        <f>HYPERLINK("http://ictvonline.org/taxonomyHistory.asp?taxnode_id=20174043","ICTVonline=20174043")</f>
        <v>ICTVonline=20174043</v>
      </c>
      <c r="L3681" s="3">
        <v>3680</v>
      </c>
    </row>
    <row r="3682" spans="1:12" x14ac:dyDescent="0.15">
      <c r="A3682" s="1" t="s">
        <v>908</v>
      </c>
      <c r="B3682" s="1" t="s">
        <v>833</v>
      </c>
      <c r="C3682" s="1" t="s">
        <v>6260</v>
      </c>
      <c r="D3682" s="1" t="s">
        <v>4037</v>
      </c>
      <c r="E3682" s="1" t="s">
        <v>4038</v>
      </c>
      <c r="F3682" s="3">
        <v>1</v>
      </c>
      <c r="G3682" s="8" t="s">
        <v>2771</v>
      </c>
      <c r="H3682" s="8" t="s">
        <v>5161</v>
      </c>
      <c r="I3682" s="3">
        <v>32</v>
      </c>
      <c r="J3682" s="3" t="s">
        <v>6261</v>
      </c>
      <c r="K3682" s="17" t="str">
        <f>HYPERLINK("http://ictvonline.org/taxonomyHistory.asp?taxnode_id=20174045","ICTVonline=20174045")</f>
        <v>ICTVonline=20174045</v>
      </c>
      <c r="L3682" s="3">
        <v>3681</v>
      </c>
    </row>
    <row r="3683" spans="1:12" x14ac:dyDescent="0.15">
      <c r="A3683" s="1" t="s">
        <v>908</v>
      </c>
      <c r="B3683" s="1" t="s">
        <v>833</v>
      </c>
      <c r="C3683" s="1" t="s">
        <v>6260</v>
      </c>
      <c r="D3683" s="1" t="s">
        <v>2526</v>
      </c>
      <c r="E3683" s="1" t="s">
        <v>2527</v>
      </c>
      <c r="F3683" s="3">
        <v>1</v>
      </c>
      <c r="G3683" s="8" t="s">
        <v>2771</v>
      </c>
      <c r="H3683" s="8" t="s">
        <v>5161</v>
      </c>
      <c r="I3683" s="3">
        <v>32</v>
      </c>
      <c r="J3683" s="3" t="s">
        <v>6261</v>
      </c>
      <c r="K3683" s="17" t="str">
        <f>HYPERLINK("http://ictvonline.org/taxonomyHistory.asp?taxnode_id=20174047","ICTVonline=20174047")</f>
        <v>ICTVonline=20174047</v>
      </c>
      <c r="L3683" s="3">
        <v>3682</v>
      </c>
    </row>
    <row r="3684" spans="1:12" x14ac:dyDescent="0.15">
      <c r="A3684" s="1" t="s">
        <v>908</v>
      </c>
      <c r="B3684" s="1" t="s">
        <v>833</v>
      </c>
      <c r="C3684" s="1" t="s">
        <v>6260</v>
      </c>
      <c r="D3684" s="1" t="s">
        <v>2526</v>
      </c>
      <c r="E3684" s="1" t="s">
        <v>6266</v>
      </c>
      <c r="F3684" s="3">
        <v>0</v>
      </c>
      <c r="G3684" s="8" t="s">
        <v>2771</v>
      </c>
      <c r="H3684" s="8" t="s">
        <v>5159</v>
      </c>
      <c r="I3684" s="3">
        <v>32</v>
      </c>
      <c r="J3684" s="3" t="s">
        <v>6261</v>
      </c>
      <c r="K3684" s="17" t="str">
        <f>HYPERLINK("http://ictvonline.org/taxonomyHistory.asp?taxnode_id=20175868","ICTVonline=20175868")</f>
        <v>ICTVonline=20175868</v>
      </c>
      <c r="L3684" s="3">
        <v>3683</v>
      </c>
    </row>
    <row r="3685" spans="1:12" x14ac:dyDescent="0.15">
      <c r="A3685" s="1" t="s">
        <v>908</v>
      </c>
      <c r="B3685" s="1" t="s">
        <v>833</v>
      </c>
      <c r="C3685" s="1" t="s">
        <v>6260</v>
      </c>
      <c r="D3685" s="1" t="s">
        <v>145</v>
      </c>
      <c r="E3685" s="1" t="s">
        <v>146</v>
      </c>
      <c r="F3685" s="3">
        <v>1</v>
      </c>
      <c r="G3685" s="8" t="s">
        <v>2771</v>
      </c>
      <c r="H3685" s="8" t="s">
        <v>5161</v>
      </c>
      <c r="I3685" s="3">
        <v>32</v>
      </c>
      <c r="J3685" s="3" t="s">
        <v>6261</v>
      </c>
      <c r="K3685" s="17" t="str">
        <f>HYPERLINK("http://ictvonline.org/taxonomyHistory.asp?taxnode_id=20174049","ICTVonline=20174049")</f>
        <v>ICTVonline=20174049</v>
      </c>
      <c r="L3685" s="3">
        <v>3684</v>
      </c>
    </row>
    <row r="3686" spans="1:12" x14ac:dyDescent="0.15">
      <c r="A3686" s="1" t="s">
        <v>908</v>
      </c>
      <c r="B3686" s="1" t="s">
        <v>833</v>
      </c>
      <c r="C3686" s="1" t="s">
        <v>6260</v>
      </c>
      <c r="D3686" s="1" t="s">
        <v>844</v>
      </c>
      <c r="E3686" s="1" t="s">
        <v>147</v>
      </c>
      <c r="F3686" s="3">
        <v>1</v>
      </c>
      <c r="G3686" s="8" t="s">
        <v>2771</v>
      </c>
      <c r="H3686" s="8" t="s">
        <v>5161</v>
      </c>
      <c r="I3686" s="3">
        <v>32</v>
      </c>
      <c r="J3686" s="3" t="s">
        <v>6261</v>
      </c>
      <c r="K3686" s="17" t="str">
        <f>HYPERLINK("http://ictvonline.org/taxonomyHistory.asp?taxnode_id=20174051","ICTVonline=20174051")</f>
        <v>ICTVonline=20174051</v>
      </c>
      <c r="L3686" s="3">
        <v>3685</v>
      </c>
    </row>
    <row r="3687" spans="1:12" x14ac:dyDescent="0.15">
      <c r="A3687" s="1" t="s">
        <v>908</v>
      </c>
      <c r="B3687" s="1" t="s">
        <v>833</v>
      </c>
      <c r="C3687" s="1" t="s">
        <v>6260</v>
      </c>
      <c r="D3687" s="1" t="s">
        <v>844</v>
      </c>
      <c r="E3687" s="1" t="s">
        <v>6267</v>
      </c>
      <c r="F3687" s="3">
        <v>0</v>
      </c>
      <c r="G3687" s="8" t="s">
        <v>2771</v>
      </c>
      <c r="H3687" s="8" t="s">
        <v>5159</v>
      </c>
      <c r="I3687" s="3">
        <v>32</v>
      </c>
      <c r="J3687" s="3" t="s">
        <v>6261</v>
      </c>
      <c r="K3687" s="17" t="str">
        <f>HYPERLINK("http://ictvonline.org/taxonomyHistory.asp?taxnode_id=20175869","ICTVonline=20175869")</f>
        <v>ICTVonline=20175869</v>
      </c>
      <c r="L3687" s="3">
        <v>3686</v>
      </c>
    </row>
    <row r="3688" spans="1:12" x14ac:dyDescent="0.15">
      <c r="A3688" s="1" t="s">
        <v>908</v>
      </c>
      <c r="B3688" s="1" t="s">
        <v>833</v>
      </c>
      <c r="C3688" s="1" t="s">
        <v>6260</v>
      </c>
      <c r="D3688" s="1" t="s">
        <v>932</v>
      </c>
      <c r="E3688" s="1" t="s">
        <v>148</v>
      </c>
      <c r="F3688" s="3">
        <v>1</v>
      </c>
      <c r="G3688" s="8" t="s">
        <v>2771</v>
      </c>
      <c r="H3688" s="8" t="s">
        <v>5161</v>
      </c>
      <c r="I3688" s="3">
        <v>32</v>
      </c>
      <c r="J3688" s="3" t="s">
        <v>6261</v>
      </c>
      <c r="K3688" s="17" t="str">
        <f>HYPERLINK("http://ictvonline.org/taxonomyHistory.asp?taxnode_id=20174053","ICTVonline=20174053")</f>
        <v>ICTVonline=20174053</v>
      </c>
      <c r="L3688" s="3">
        <v>3687</v>
      </c>
    </row>
    <row r="3689" spans="1:12" x14ac:dyDescent="0.15">
      <c r="A3689" s="1" t="s">
        <v>908</v>
      </c>
      <c r="B3689" s="1" t="s">
        <v>833</v>
      </c>
      <c r="C3689" s="1" t="s">
        <v>6260</v>
      </c>
      <c r="D3689" s="1" t="s">
        <v>933</v>
      </c>
      <c r="E3689" s="1" t="s">
        <v>149</v>
      </c>
      <c r="F3689" s="3">
        <v>1</v>
      </c>
      <c r="G3689" s="8" t="s">
        <v>2771</v>
      </c>
      <c r="H3689" s="8" t="s">
        <v>5161</v>
      </c>
      <c r="I3689" s="3">
        <v>32</v>
      </c>
      <c r="J3689" s="3" t="s">
        <v>6261</v>
      </c>
      <c r="K3689" s="17" t="str">
        <f>HYPERLINK("http://ictvonline.org/taxonomyHistory.asp?taxnode_id=20174055","ICTVonline=20174055")</f>
        <v>ICTVonline=20174055</v>
      </c>
      <c r="L3689" s="3">
        <v>3688</v>
      </c>
    </row>
    <row r="3690" spans="1:12" x14ac:dyDescent="0.15">
      <c r="A3690" s="1" t="s">
        <v>908</v>
      </c>
      <c r="B3690" s="1" t="s">
        <v>833</v>
      </c>
      <c r="C3690" s="1" t="s">
        <v>6260</v>
      </c>
      <c r="D3690" s="1" t="s">
        <v>933</v>
      </c>
      <c r="E3690" s="1" t="s">
        <v>151</v>
      </c>
      <c r="F3690" s="3">
        <v>0</v>
      </c>
      <c r="G3690" s="8" t="s">
        <v>2771</v>
      </c>
      <c r="H3690" s="8" t="s">
        <v>5161</v>
      </c>
      <c r="I3690" s="3">
        <v>32</v>
      </c>
      <c r="J3690" s="3" t="s">
        <v>6261</v>
      </c>
      <c r="K3690" s="17" t="str">
        <f>HYPERLINK("http://ictvonline.org/taxonomyHistory.asp?taxnode_id=20174056","ICTVonline=20174056")</f>
        <v>ICTVonline=20174056</v>
      </c>
      <c r="L3690" s="3">
        <v>3689</v>
      </c>
    </row>
    <row r="3691" spans="1:12" x14ac:dyDescent="0.15">
      <c r="A3691" s="1" t="s">
        <v>908</v>
      </c>
      <c r="B3691" s="1" t="s">
        <v>833</v>
      </c>
      <c r="C3691" s="1" t="s">
        <v>6260</v>
      </c>
      <c r="D3691" s="1" t="s">
        <v>933</v>
      </c>
      <c r="E3691" s="1" t="s">
        <v>152</v>
      </c>
      <c r="F3691" s="3">
        <v>0</v>
      </c>
      <c r="G3691" s="8" t="s">
        <v>2771</v>
      </c>
      <c r="H3691" s="8" t="s">
        <v>5161</v>
      </c>
      <c r="I3691" s="3">
        <v>32</v>
      </c>
      <c r="J3691" s="3" t="s">
        <v>6261</v>
      </c>
      <c r="K3691" s="17" t="str">
        <f>HYPERLINK("http://ictvonline.org/taxonomyHistory.asp?taxnode_id=20174057","ICTVonline=20174057")</f>
        <v>ICTVonline=20174057</v>
      </c>
      <c r="L3691" s="3">
        <v>3690</v>
      </c>
    </row>
    <row r="3692" spans="1:12" x14ac:dyDescent="0.15">
      <c r="A3692" s="1" t="s">
        <v>908</v>
      </c>
      <c r="B3692" s="1" t="s">
        <v>833</v>
      </c>
      <c r="C3692" s="1" t="s">
        <v>6260</v>
      </c>
      <c r="D3692" s="1" t="s">
        <v>933</v>
      </c>
      <c r="E3692" s="1" t="s">
        <v>153</v>
      </c>
      <c r="F3692" s="3">
        <v>0</v>
      </c>
      <c r="G3692" s="8" t="s">
        <v>2771</v>
      </c>
      <c r="H3692" s="8" t="s">
        <v>5161</v>
      </c>
      <c r="I3692" s="3">
        <v>32</v>
      </c>
      <c r="J3692" s="3" t="s">
        <v>6261</v>
      </c>
      <c r="K3692" s="17" t="str">
        <f>HYPERLINK("http://ictvonline.org/taxonomyHistory.asp?taxnode_id=20174058","ICTVonline=20174058")</f>
        <v>ICTVonline=20174058</v>
      </c>
      <c r="L3692" s="3">
        <v>3691</v>
      </c>
    </row>
    <row r="3693" spans="1:12" x14ac:dyDescent="0.15">
      <c r="A3693" s="1" t="s">
        <v>908</v>
      </c>
      <c r="B3693" s="1" t="s">
        <v>833</v>
      </c>
      <c r="C3693" s="1" t="s">
        <v>6260</v>
      </c>
      <c r="D3693" s="1" t="s">
        <v>933</v>
      </c>
      <c r="E3693" s="1" t="s">
        <v>154</v>
      </c>
      <c r="F3693" s="3">
        <v>0</v>
      </c>
      <c r="G3693" s="8" t="s">
        <v>2771</v>
      </c>
      <c r="H3693" s="8" t="s">
        <v>5161</v>
      </c>
      <c r="I3693" s="3">
        <v>32</v>
      </c>
      <c r="J3693" s="3" t="s">
        <v>6261</v>
      </c>
      <c r="K3693" s="17" t="str">
        <f>HYPERLINK("http://ictvonline.org/taxonomyHistory.asp?taxnode_id=20174059","ICTVonline=20174059")</f>
        <v>ICTVonline=20174059</v>
      </c>
      <c r="L3693" s="3">
        <v>3692</v>
      </c>
    </row>
    <row r="3694" spans="1:12" x14ac:dyDescent="0.15">
      <c r="A3694" s="1" t="s">
        <v>908</v>
      </c>
      <c r="B3694" s="1" t="s">
        <v>833</v>
      </c>
      <c r="C3694" s="1" t="s">
        <v>6260</v>
      </c>
      <c r="D3694" s="1" t="s">
        <v>933</v>
      </c>
      <c r="E3694" s="1" t="s">
        <v>155</v>
      </c>
      <c r="F3694" s="3">
        <v>0</v>
      </c>
      <c r="G3694" s="8" t="s">
        <v>2771</v>
      </c>
      <c r="H3694" s="8" t="s">
        <v>5161</v>
      </c>
      <c r="I3694" s="3">
        <v>32</v>
      </c>
      <c r="J3694" s="3" t="s">
        <v>6261</v>
      </c>
      <c r="K3694" s="17" t="str">
        <f>HYPERLINK("http://ictvonline.org/taxonomyHistory.asp?taxnode_id=20174060","ICTVonline=20174060")</f>
        <v>ICTVonline=20174060</v>
      </c>
      <c r="L3694" s="3">
        <v>3693</v>
      </c>
    </row>
    <row r="3695" spans="1:12" x14ac:dyDescent="0.15">
      <c r="A3695" s="1" t="s">
        <v>908</v>
      </c>
      <c r="B3695" s="1" t="s">
        <v>833</v>
      </c>
      <c r="C3695" s="1" t="s">
        <v>6260</v>
      </c>
      <c r="D3695" s="1" t="s">
        <v>933</v>
      </c>
      <c r="E3695" s="1" t="s">
        <v>156</v>
      </c>
      <c r="F3695" s="3">
        <v>0</v>
      </c>
      <c r="G3695" s="8" t="s">
        <v>2771</v>
      </c>
      <c r="H3695" s="8" t="s">
        <v>5161</v>
      </c>
      <c r="I3695" s="3">
        <v>32</v>
      </c>
      <c r="J3695" s="3" t="s">
        <v>6261</v>
      </c>
      <c r="K3695" s="17" t="str">
        <f>HYPERLINK("http://ictvonline.org/taxonomyHistory.asp?taxnode_id=20174061","ICTVonline=20174061")</f>
        <v>ICTVonline=20174061</v>
      </c>
      <c r="L3695" s="3">
        <v>3694</v>
      </c>
    </row>
    <row r="3696" spans="1:12" x14ac:dyDescent="0.15">
      <c r="A3696" s="1" t="s">
        <v>908</v>
      </c>
      <c r="B3696" s="1" t="s">
        <v>833</v>
      </c>
      <c r="C3696" s="1" t="s">
        <v>6260</v>
      </c>
      <c r="D3696" s="1" t="s">
        <v>933</v>
      </c>
      <c r="E3696" s="1" t="s">
        <v>157</v>
      </c>
      <c r="F3696" s="3">
        <v>0</v>
      </c>
      <c r="G3696" s="8" t="s">
        <v>2771</v>
      </c>
      <c r="H3696" s="8" t="s">
        <v>5161</v>
      </c>
      <c r="I3696" s="3">
        <v>32</v>
      </c>
      <c r="J3696" s="3" t="s">
        <v>6261</v>
      </c>
      <c r="K3696" s="17" t="str">
        <f>HYPERLINK("http://ictvonline.org/taxonomyHistory.asp?taxnode_id=20174062","ICTVonline=20174062")</f>
        <v>ICTVonline=20174062</v>
      </c>
      <c r="L3696" s="3">
        <v>3695</v>
      </c>
    </row>
    <row r="3697" spans="1:12" x14ac:dyDescent="0.15">
      <c r="A3697" s="1" t="s">
        <v>908</v>
      </c>
      <c r="B3697" s="1" t="s">
        <v>833</v>
      </c>
      <c r="C3697" s="1" t="s">
        <v>6260</v>
      </c>
      <c r="D3697" s="1" t="s">
        <v>933</v>
      </c>
      <c r="E3697" s="1" t="s">
        <v>158</v>
      </c>
      <c r="F3697" s="3">
        <v>0</v>
      </c>
      <c r="G3697" s="8" t="s">
        <v>2771</v>
      </c>
      <c r="H3697" s="8" t="s">
        <v>5161</v>
      </c>
      <c r="I3697" s="3">
        <v>32</v>
      </c>
      <c r="J3697" s="3" t="s">
        <v>6261</v>
      </c>
      <c r="K3697" s="17" t="str">
        <f>HYPERLINK("http://ictvonline.org/taxonomyHistory.asp?taxnode_id=20174063","ICTVonline=20174063")</f>
        <v>ICTVonline=20174063</v>
      </c>
      <c r="L3697" s="3">
        <v>3696</v>
      </c>
    </row>
    <row r="3698" spans="1:12" x14ac:dyDescent="0.15">
      <c r="A3698" s="1" t="s">
        <v>908</v>
      </c>
      <c r="B3698" s="1" t="s">
        <v>833</v>
      </c>
      <c r="C3698" s="1" t="s">
        <v>6260</v>
      </c>
      <c r="D3698" s="1" t="s">
        <v>933</v>
      </c>
      <c r="E3698" s="1" t="s">
        <v>150</v>
      </c>
      <c r="F3698" s="3">
        <v>0</v>
      </c>
      <c r="G3698" s="8" t="s">
        <v>2771</v>
      </c>
      <c r="H3698" s="8" t="s">
        <v>5161</v>
      </c>
      <c r="I3698" s="3">
        <v>32</v>
      </c>
      <c r="J3698" s="3" t="s">
        <v>6261</v>
      </c>
      <c r="K3698" s="17" t="str">
        <f>HYPERLINK("http://ictvonline.org/taxonomyHistory.asp?taxnode_id=20174064","ICTVonline=20174064")</f>
        <v>ICTVonline=20174064</v>
      </c>
      <c r="L3698" s="3">
        <v>3697</v>
      </c>
    </row>
    <row r="3699" spans="1:12" x14ac:dyDescent="0.15">
      <c r="A3699" s="1" t="s">
        <v>908</v>
      </c>
      <c r="B3699" s="1" t="s">
        <v>833</v>
      </c>
      <c r="C3699" s="1" t="s">
        <v>6260</v>
      </c>
      <c r="D3699" s="1" t="s">
        <v>933</v>
      </c>
      <c r="E3699" s="1" t="s">
        <v>2528</v>
      </c>
      <c r="F3699" s="3">
        <v>0</v>
      </c>
      <c r="G3699" s="8" t="s">
        <v>2771</v>
      </c>
      <c r="H3699" s="8" t="s">
        <v>5161</v>
      </c>
      <c r="I3699" s="3">
        <v>32</v>
      </c>
      <c r="J3699" s="3" t="s">
        <v>6261</v>
      </c>
      <c r="K3699" s="17" t="str">
        <f>HYPERLINK("http://ictvonline.org/taxonomyHistory.asp?taxnode_id=20174065","ICTVonline=20174065")</f>
        <v>ICTVonline=20174065</v>
      </c>
      <c r="L3699" s="3">
        <v>3698</v>
      </c>
    </row>
    <row r="3700" spans="1:12" x14ac:dyDescent="0.15">
      <c r="A3700" s="1" t="s">
        <v>908</v>
      </c>
      <c r="B3700" s="1" t="s">
        <v>833</v>
      </c>
      <c r="C3700" s="1" t="s">
        <v>6260</v>
      </c>
      <c r="D3700" s="1" t="s">
        <v>933</v>
      </c>
      <c r="E3700" s="1" t="s">
        <v>2529</v>
      </c>
      <c r="F3700" s="3">
        <v>0</v>
      </c>
      <c r="G3700" s="8" t="s">
        <v>2771</v>
      </c>
      <c r="H3700" s="8" t="s">
        <v>5161</v>
      </c>
      <c r="I3700" s="3">
        <v>32</v>
      </c>
      <c r="J3700" s="3" t="s">
        <v>6261</v>
      </c>
      <c r="K3700" s="17" t="str">
        <f>HYPERLINK("http://ictvonline.org/taxonomyHistory.asp?taxnode_id=20174066","ICTVonline=20174066")</f>
        <v>ICTVonline=20174066</v>
      </c>
      <c r="L3700" s="3">
        <v>3699</v>
      </c>
    </row>
    <row r="3701" spans="1:12" x14ac:dyDescent="0.15">
      <c r="A3701" s="1" t="s">
        <v>908</v>
      </c>
      <c r="B3701" s="1" t="s">
        <v>833</v>
      </c>
      <c r="C3701" s="1" t="s">
        <v>6260</v>
      </c>
      <c r="D3701" s="1" t="s">
        <v>933</v>
      </c>
      <c r="E3701" s="1" t="s">
        <v>2530</v>
      </c>
      <c r="F3701" s="3">
        <v>0</v>
      </c>
      <c r="G3701" s="8" t="s">
        <v>2771</v>
      </c>
      <c r="H3701" s="8" t="s">
        <v>5161</v>
      </c>
      <c r="I3701" s="3">
        <v>32</v>
      </c>
      <c r="J3701" s="3" t="s">
        <v>6261</v>
      </c>
      <c r="K3701" s="17" t="str">
        <f>HYPERLINK("http://ictvonline.org/taxonomyHistory.asp?taxnode_id=20174067","ICTVonline=20174067")</f>
        <v>ICTVonline=20174067</v>
      </c>
      <c r="L3701" s="3">
        <v>3700</v>
      </c>
    </row>
    <row r="3702" spans="1:12" x14ac:dyDescent="0.15">
      <c r="A3702" s="1" t="s">
        <v>908</v>
      </c>
      <c r="B3702" s="1" t="s">
        <v>833</v>
      </c>
      <c r="C3702" s="1" t="s">
        <v>6260</v>
      </c>
      <c r="D3702" s="1" t="s">
        <v>933</v>
      </c>
      <c r="E3702" s="1" t="s">
        <v>2531</v>
      </c>
      <c r="F3702" s="3">
        <v>0</v>
      </c>
      <c r="G3702" s="8" t="s">
        <v>2771</v>
      </c>
      <c r="H3702" s="8" t="s">
        <v>5161</v>
      </c>
      <c r="I3702" s="3">
        <v>32</v>
      </c>
      <c r="J3702" s="3" t="s">
        <v>6261</v>
      </c>
      <c r="K3702" s="17" t="str">
        <f>HYPERLINK("http://ictvonline.org/taxonomyHistory.asp?taxnode_id=20174068","ICTVonline=20174068")</f>
        <v>ICTVonline=20174068</v>
      </c>
      <c r="L3702" s="3">
        <v>3701</v>
      </c>
    </row>
    <row r="3703" spans="1:12" x14ac:dyDescent="0.15">
      <c r="A3703" s="1" t="s">
        <v>908</v>
      </c>
      <c r="B3703" s="1" t="s">
        <v>833</v>
      </c>
      <c r="C3703" s="1" t="s">
        <v>6260</v>
      </c>
      <c r="D3703" s="1" t="s">
        <v>933</v>
      </c>
      <c r="E3703" s="1" t="s">
        <v>2532</v>
      </c>
      <c r="F3703" s="3">
        <v>0</v>
      </c>
      <c r="G3703" s="8" t="s">
        <v>2771</v>
      </c>
      <c r="H3703" s="8" t="s">
        <v>5161</v>
      </c>
      <c r="I3703" s="3">
        <v>32</v>
      </c>
      <c r="J3703" s="3" t="s">
        <v>6261</v>
      </c>
      <c r="K3703" s="17" t="str">
        <f>HYPERLINK("http://ictvonline.org/taxonomyHistory.asp?taxnode_id=20174069","ICTVonline=20174069")</f>
        <v>ICTVonline=20174069</v>
      </c>
      <c r="L3703" s="3">
        <v>3702</v>
      </c>
    </row>
    <row r="3704" spans="1:12" x14ac:dyDescent="0.15">
      <c r="A3704" s="1" t="s">
        <v>908</v>
      </c>
      <c r="B3704" s="1" t="s">
        <v>833</v>
      </c>
      <c r="C3704" s="1" t="s">
        <v>6260</v>
      </c>
      <c r="D3704" s="1" t="s">
        <v>933</v>
      </c>
      <c r="E3704" s="1" t="s">
        <v>2533</v>
      </c>
      <c r="F3704" s="3">
        <v>0</v>
      </c>
      <c r="G3704" s="8" t="s">
        <v>2771</v>
      </c>
      <c r="H3704" s="8" t="s">
        <v>5161</v>
      </c>
      <c r="I3704" s="3">
        <v>32</v>
      </c>
      <c r="J3704" s="3" t="s">
        <v>6261</v>
      </c>
      <c r="K3704" s="17" t="str">
        <f>HYPERLINK("http://ictvonline.org/taxonomyHistory.asp?taxnode_id=20174070","ICTVonline=20174070")</f>
        <v>ICTVonline=20174070</v>
      </c>
      <c r="L3704" s="3">
        <v>3703</v>
      </c>
    </row>
    <row r="3705" spans="1:12" x14ac:dyDescent="0.15">
      <c r="A3705" s="1" t="s">
        <v>908</v>
      </c>
      <c r="B3705" s="1" t="s">
        <v>833</v>
      </c>
      <c r="C3705" s="1" t="s">
        <v>6260</v>
      </c>
      <c r="D3705" s="1" t="s">
        <v>933</v>
      </c>
      <c r="E3705" s="1" t="s">
        <v>2534</v>
      </c>
      <c r="F3705" s="3">
        <v>0</v>
      </c>
      <c r="G3705" s="8" t="s">
        <v>2771</v>
      </c>
      <c r="H3705" s="8" t="s">
        <v>5161</v>
      </c>
      <c r="I3705" s="3">
        <v>32</v>
      </c>
      <c r="J3705" s="3" t="s">
        <v>6261</v>
      </c>
      <c r="K3705" s="17" t="str">
        <f>HYPERLINK("http://ictvonline.org/taxonomyHistory.asp?taxnode_id=20174071","ICTVonline=20174071")</f>
        <v>ICTVonline=20174071</v>
      </c>
      <c r="L3705" s="3">
        <v>3704</v>
      </c>
    </row>
    <row r="3706" spans="1:12" x14ac:dyDescent="0.15">
      <c r="A3706" s="1" t="s">
        <v>908</v>
      </c>
      <c r="B3706" s="1" t="s">
        <v>833</v>
      </c>
      <c r="C3706" s="1" t="s">
        <v>6260</v>
      </c>
      <c r="D3706" s="1" t="s">
        <v>933</v>
      </c>
      <c r="E3706" s="1" t="s">
        <v>2535</v>
      </c>
      <c r="F3706" s="3">
        <v>0</v>
      </c>
      <c r="G3706" s="8" t="s">
        <v>2771</v>
      </c>
      <c r="H3706" s="8" t="s">
        <v>5161</v>
      </c>
      <c r="I3706" s="3">
        <v>32</v>
      </c>
      <c r="J3706" s="3" t="s">
        <v>6261</v>
      </c>
      <c r="K3706" s="17" t="str">
        <f>HYPERLINK("http://ictvonline.org/taxonomyHistory.asp?taxnode_id=20174072","ICTVonline=20174072")</f>
        <v>ICTVonline=20174072</v>
      </c>
      <c r="L3706" s="3">
        <v>3705</v>
      </c>
    </row>
    <row r="3707" spans="1:12" x14ac:dyDescent="0.15">
      <c r="A3707" s="1" t="s">
        <v>908</v>
      </c>
      <c r="B3707" s="1" t="s">
        <v>833</v>
      </c>
      <c r="C3707" s="1" t="s">
        <v>6260</v>
      </c>
      <c r="D3707" s="1" t="s">
        <v>933</v>
      </c>
      <c r="E3707" s="1" t="s">
        <v>2536</v>
      </c>
      <c r="F3707" s="3">
        <v>0</v>
      </c>
      <c r="G3707" s="8" t="s">
        <v>2771</v>
      </c>
      <c r="H3707" s="8" t="s">
        <v>5161</v>
      </c>
      <c r="I3707" s="3">
        <v>32</v>
      </c>
      <c r="J3707" s="3" t="s">
        <v>6261</v>
      </c>
      <c r="K3707" s="17" t="str">
        <f>HYPERLINK("http://ictvonline.org/taxonomyHistory.asp?taxnode_id=20174073","ICTVonline=20174073")</f>
        <v>ICTVonline=20174073</v>
      </c>
      <c r="L3707" s="3">
        <v>3706</v>
      </c>
    </row>
    <row r="3708" spans="1:12" x14ac:dyDescent="0.15">
      <c r="A3708" s="1" t="s">
        <v>908</v>
      </c>
      <c r="B3708" s="1" t="s">
        <v>833</v>
      </c>
      <c r="C3708" s="1" t="s">
        <v>6260</v>
      </c>
      <c r="D3708" s="1" t="s">
        <v>933</v>
      </c>
      <c r="E3708" s="1" t="s">
        <v>2537</v>
      </c>
      <c r="F3708" s="3">
        <v>0</v>
      </c>
      <c r="G3708" s="8" t="s">
        <v>2771</v>
      </c>
      <c r="H3708" s="8" t="s">
        <v>5161</v>
      </c>
      <c r="I3708" s="3">
        <v>32</v>
      </c>
      <c r="J3708" s="3" t="s">
        <v>6261</v>
      </c>
      <c r="K3708" s="17" t="str">
        <f>HYPERLINK("http://ictvonline.org/taxonomyHistory.asp?taxnode_id=20174074","ICTVonline=20174074")</f>
        <v>ICTVonline=20174074</v>
      </c>
      <c r="L3708" s="3">
        <v>3707</v>
      </c>
    </row>
    <row r="3709" spans="1:12" x14ac:dyDescent="0.15">
      <c r="A3709" s="1" t="s">
        <v>908</v>
      </c>
      <c r="B3709" s="1" t="s">
        <v>833</v>
      </c>
      <c r="C3709" s="1" t="s">
        <v>6260</v>
      </c>
      <c r="D3709" s="1" t="s">
        <v>933</v>
      </c>
      <c r="E3709" s="1" t="s">
        <v>4039</v>
      </c>
      <c r="F3709" s="3">
        <v>0</v>
      </c>
      <c r="G3709" s="8" t="s">
        <v>2771</v>
      </c>
      <c r="H3709" s="8" t="s">
        <v>5161</v>
      </c>
      <c r="I3709" s="3">
        <v>32</v>
      </c>
      <c r="J3709" s="3" t="s">
        <v>6261</v>
      </c>
      <c r="K3709" s="17" t="str">
        <f>HYPERLINK("http://ictvonline.org/taxonomyHistory.asp?taxnode_id=20174075","ICTVonline=20174075")</f>
        <v>ICTVonline=20174075</v>
      </c>
      <c r="L3709" s="3">
        <v>3708</v>
      </c>
    </row>
    <row r="3710" spans="1:12" x14ac:dyDescent="0.15">
      <c r="A3710" s="1" t="s">
        <v>908</v>
      </c>
      <c r="B3710" s="1" t="s">
        <v>833</v>
      </c>
      <c r="C3710" s="1" t="s">
        <v>6260</v>
      </c>
      <c r="D3710" s="1" t="s">
        <v>933</v>
      </c>
      <c r="E3710" s="1" t="s">
        <v>4040</v>
      </c>
      <c r="F3710" s="3">
        <v>0</v>
      </c>
      <c r="G3710" s="8" t="s">
        <v>2771</v>
      </c>
      <c r="H3710" s="8" t="s">
        <v>5161</v>
      </c>
      <c r="I3710" s="3">
        <v>32</v>
      </c>
      <c r="J3710" s="3" t="s">
        <v>6261</v>
      </c>
      <c r="K3710" s="17" t="str">
        <f>HYPERLINK("http://ictvonline.org/taxonomyHistory.asp?taxnode_id=20174076","ICTVonline=20174076")</f>
        <v>ICTVonline=20174076</v>
      </c>
      <c r="L3710" s="3">
        <v>3709</v>
      </c>
    </row>
    <row r="3711" spans="1:12" x14ac:dyDescent="0.15">
      <c r="A3711" s="1" t="s">
        <v>908</v>
      </c>
      <c r="B3711" s="1" t="s">
        <v>833</v>
      </c>
      <c r="C3711" s="1" t="s">
        <v>6260</v>
      </c>
      <c r="D3711" s="1" t="s">
        <v>933</v>
      </c>
      <c r="E3711" s="1" t="s">
        <v>4041</v>
      </c>
      <c r="F3711" s="3">
        <v>0</v>
      </c>
      <c r="G3711" s="8" t="s">
        <v>2771</v>
      </c>
      <c r="H3711" s="8" t="s">
        <v>5161</v>
      </c>
      <c r="I3711" s="3">
        <v>32</v>
      </c>
      <c r="J3711" s="3" t="s">
        <v>6261</v>
      </c>
      <c r="K3711" s="17" t="str">
        <f>HYPERLINK("http://ictvonline.org/taxonomyHistory.asp?taxnode_id=20174077","ICTVonline=20174077")</f>
        <v>ICTVonline=20174077</v>
      </c>
      <c r="L3711" s="3">
        <v>3710</v>
      </c>
    </row>
    <row r="3712" spans="1:12" x14ac:dyDescent="0.15">
      <c r="A3712" s="1" t="s">
        <v>908</v>
      </c>
      <c r="B3712" s="1" t="s">
        <v>833</v>
      </c>
      <c r="C3712" s="1" t="s">
        <v>6260</v>
      </c>
      <c r="D3712" s="1" t="s">
        <v>933</v>
      </c>
      <c r="E3712" s="1" t="s">
        <v>4042</v>
      </c>
      <c r="F3712" s="3">
        <v>0</v>
      </c>
      <c r="G3712" s="8" t="s">
        <v>2771</v>
      </c>
      <c r="H3712" s="8" t="s">
        <v>5161</v>
      </c>
      <c r="I3712" s="3">
        <v>32</v>
      </c>
      <c r="J3712" s="3" t="s">
        <v>6261</v>
      </c>
      <c r="K3712" s="17" t="str">
        <f>HYPERLINK("http://ictvonline.org/taxonomyHistory.asp?taxnode_id=20174078","ICTVonline=20174078")</f>
        <v>ICTVonline=20174078</v>
      </c>
      <c r="L3712" s="3">
        <v>3711</v>
      </c>
    </row>
    <row r="3713" spans="1:12" x14ac:dyDescent="0.15">
      <c r="A3713" s="1" t="s">
        <v>908</v>
      </c>
      <c r="B3713" s="1" t="s">
        <v>833</v>
      </c>
      <c r="C3713" s="1" t="s">
        <v>6260</v>
      </c>
      <c r="D3713" s="1" t="s">
        <v>933</v>
      </c>
      <c r="E3713" s="1" t="s">
        <v>4043</v>
      </c>
      <c r="F3713" s="3">
        <v>0</v>
      </c>
      <c r="G3713" s="8" t="s">
        <v>2771</v>
      </c>
      <c r="H3713" s="8" t="s">
        <v>5161</v>
      </c>
      <c r="I3713" s="3">
        <v>32</v>
      </c>
      <c r="J3713" s="3" t="s">
        <v>6261</v>
      </c>
      <c r="K3713" s="17" t="str">
        <f>HYPERLINK("http://ictvonline.org/taxonomyHistory.asp?taxnode_id=20174079","ICTVonline=20174079")</f>
        <v>ICTVonline=20174079</v>
      </c>
      <c r="L3713" s="3">
        <v>3712</v>
      </c>
    </row>
    <row r="3714" spans="1:12" x14ac:dyDescent="0.15">
      <c r="A3714" s="1" t="s">
        <v>908</v>
      </c>
      <c r="B3714" s="1" t="s">
        <v>833</v>
      </c>
      <c r="C3714" s="1" t="s">
        <v>6260</v>
      </c>
      <c r="D3714" s="1" t="s">
        <v>933</v>
      </c>
      <c r="E3714" s="1" t="s">
        <v>4044</v>
      </c>
      <c r="F3714" s="3">
        <v>0</v>
      </c>
      <c r="G3714" s="8" t="s">
        <v>2771</v>
      </c>
      <c r="H3714" s="8" t="s">
        <v>5161</v>
      </c>
      <c r="I3714" s="3">
        <v>32</v>
      </c>
      <c r="J3714" s="3" t="s">
        <v>6261</v>
      </c>
      <c r="K3714" s="17" t="str">
        <f>HYPERLINK("http://ictvonline.org/taxonomyHistory.asp?taxnode_id=20174080","ICTVonline=20174080")</f>
        <v>ICTVonline=20174080</v>
      </c>
      <c r="L3714" s="3">
        <v>3713</v>
      </c>
    </row>
    <row r="3715" spans="1:12" x14ac:dyDescent="0.15">
      <c r="A3715" s="1" t="s">
        <v>908</v>
      </c>
      <c r="B3715" s="1" t="s">
        <v>833</v>
      </c>
      <c r="C3715" s="1" t="s">
        <v>6260</v>
      </c>
      <c r="D3715" s="1" t="s">
        <v>933</v>
      </c>
      <c r="E3715" s="1" t="s">
        <v>6268</v>
      </c>
      <c r="F3715" s="3">
        <v>0</v>
      </c>
      <c r="G3715" s="8" t="s">
        <v>2771</v>
      </c>
      <c r="H3715" s="8" t="s">
        <v>5159</v>
      </c>
      <c r="I3715" s="3">
        <v>32</v>
      </c>
      <c r="J3715" s="3" t="s">
        <v>6261</v>
      </c>
      <c r="K3715" s="17" t="str">
        <f>HYPERLINK("http://ictvonline.org/taxonomyHistory.asp?taxnode_id=20175870","ICTVonline=20175870")</f>
        <v>ICTVonline=20175870</v>
      </c>
      <c r="L3715" s="3">
        <v>3714</v>
      </c>
    </row>
    <row r="3716" spans="1:12" x14ac:dyDescent="0.15">
      <c r="A3716" s="1" t="s">
        <v>908</v>
      </c>
      <c r="B3716" s="1" t="s">
        <v>833</v>
      </c>
      <c r="C3716" s="1" t="s">
        <v>6260</v>
      </c>
      <c r="D3716" s="1" t="s">
        <v>1059</v>
      </c>
      <c r="E3716" s="1" t="s">
        <v>159</v>
      </c>
      <c r="F3716" s="3">
        <v>1</v>
      </c>
      <c r="G3716" s="8" t="s">
        <v>2771</v>
      </c>
      <c r="H3716" s="8" t="s">
        <v>5161</v>
      </c>
      <c r="I3716" s="3">
        <v>32</v>
      </c>
      <c r="J3716" s="3" t="s">
        <v>6261</v>
      </c>
      <c r="K3716" s="17" t="str">
        <f>HYPERLINK("http://ictvonline.org/taxonomyHistory.asp?taxnode_id=20174082","ICTVonline=20174082")</f>
        <v>ICTVonline=20174082</v>
      </c>
      <c r="L3716" s="3">
        <v>3715</v>
      </c>
    </row>
    <row r="3717" spans="1:12" x14ac:dyDescent="0.15">
      <c r="A3717" s="1" t="s">
        <v>908</v>
      </c>
      <c r="B3717" s="1" t="s">
        <v>833</v>
      </c>
      <c r="C3717" s="1" t="s">
        <v>6260</v>
      </c>
      <c r="D3717" s="1" t="s">
        <v>1059</v>
      </c>
      <c r="E3717" s="1" t="s">
        <v>6269</v>
      </c>
      <c r="F3717" s="3">
        <v>0</v>
      </c>
      <c r="G3717" s="8" t="s">
        <v>2771</v>
      </c>
      <c r="H3717" s="8" t="s">
        <v>5159</v>
      </c>
      <c r="I3717" s="3">
        <v>32</v>
      </c>
      <c r="J3717" s="3" t="s">
        <v>6261</v>
      </c>
      <c r="K3717" s="17" t="str">
        <f>HYPERLINK("http://ictvonline.org/taxonomyHistory.asp?taxnode_id=20175871","ICTVonline=20175871")</f>
        <v>ICTVonline=20175871</v>
      </c>
      <c r="L3717" s="3">
        <v>3716</v>
      </c>
    </row>
    <row r="3718" spans="1:12" x14ac:dyDescent="0.15">
      <c r="A3718" s="1" t="s">
        <v>908</v>
      </c>
      <c r="B3718" s="1" t="s">
        <v>833</v>
      </c>
      <c r="C3718" s="1" t="s">
        <v>6260</v>
      </c>
      <c r="D3718" s="1" t="s">
        <v>1150</v>
      </c>
      <c r="E3718" s="1" t="s">
        <v>160</v>
      </c>
      <c r="F3718" s="3">
        <v>0</v>
      </c>
      <c r="G3718" s="8" t="s">
        <v>2771</v>
      </c>
      <c r="H3718" s="8" t="s">
        <v>5161</v>
      </c>
      <c r="I3718" s="3">
        <v>32</v>
      </c>
      <c r="J3718" s="3" t="s">
        <v>6261</v>
      </c>
      <c r="K3718" s="17" t="str">
        <f>HYPERLINK("http://ictvonline.org/taxonomyHistory.asp?taxnode_id=20174084","ICTVonline=20174084")</f>
        <v>ICTVonline=20174084</v>
      </c>
      <c r="L3718" s="3">
        <v>3717</v>
      </c>
    </row>
    <row r="3719" spans="1:12" x14ac:dyDescent="0.15">
      <c r="A3719" s="1" t="s">
        <v>908</v>
      </c>
      <c r="B3719" s="1" t="s">
        <v>833</v>
      </c>
      <c r="C3719" s="1" t="s">
        <v>6260</v>
      </c>
      <c r="D3719" s="1" t="s">
        <v>1150</v>
      </c>
      <c r="E3719" s="1" t="s">
        <v>161</v>
      </c>
      <c r="F3719" s="3">
        <v>1</v>
      </c>
      <c r="G3719" s="8" t="s">
        <v>2771</v>
      </c>
      <c r="H3719" s="8" t="s">
        <v>5161</v>
      </c>
      <c r="I3719" s="3">
        <v>32</v>
      </c>
      <c r="J3719" s="3" t="s">
        <v>6261</v>
      </c>
      <c r="K3719" s="17" t="str">
        <f>HYPERLINK("http://ictvonline.org/taxonomyHistory.asp?taxnode_id=20174085","ICTVonline=20174085")</f>
        <v>ICTVonline=20174085</v>
      </c>
      <c r="L3719" s="3">
        <v>3718</v>
      </c>
    </row>
    <row r="3720" spans="1:12" x14ac:dyDescent="0.15">
      <c r="A3720" s="1" t="s">
        <v>908</v>
      </c>
      <c r="B3720" s="1" t="s">
        <v>833</v>
      </c>
      <c r="C3720" s="1" t="s">
        <v>6260</v>
      </c>
      <c r="D3720" s="1" t="s">
        <v>1151</v>
      </c>
      <c r="E3720" s="1" t="s">
        <v>162</v>
      </c>
      <c r="F3720" s="3">
        <v>0</v>
      </c>
      <c r="G3720" s="8" t="s">
        <v>2771</v>
      </c>
      <c r="H3720" s="8" t="s">
        <v>5161</v>
      </c>
      <c r="I3720" s="3">
        <v>32</v>
      </c>
      <c r="J3720" s="3" t="s">
        <v>6261</v>
      </c>
      <c r="K3720" s="17" t="str">
        <f>HYPERLINK("http://ictvonline.org/taxonomyHistory.asp?taxnode_id=20174087","ICTVonline=20174087")</f>
        <v>ICTVonline=20174087</v>
      </c>
      <c r="L3720" s="3">
        <v>3719</v>
      </c>
    </row>
    <row r="3721" spans="1:12" x14ac:dyDescent="0.15">
      <c r="A3721" s="1" t="s">
        <v>908</v>
      </c>
      <c r="B3721" s="1" t="s">
        <v>833</v>
      </c>
      <c r="C3721" s="1" t="s">
        <v>6260</v>
      </c>
      <c r="D3721" s="1" t="s">
        <v>1151</v>
      </c>
      <c r="E3721" s="1" t="s">
        <v>163</v>
      </c>
      <c r="F3721" s="3">
        <v>1</v>
      </c>
      <c r="G3721" s="8" t="s">
        <v>2771</v>
      </c>
      <c r="H3721" s="8" t="s">
        <v>5161</v>
      </c>
      <c r="I3721" s="3">
        <v>32</v>
      </c>
      <c r="J3721" s="3" t="s">
        <v>6261</v>
      </c>
      <c r="K3721" s="17" t="str">
        <f>HYPERLINK("http://ictvonline.org/taxonomyHistory.asp?taxnode_id=20174088","ICTVonline=20174088")</f>
        <v>ICTVonline=20174088</v>
      </c>
      <c r="L3721" s="3">
        <v>3720</v>
      </c>
    </row>
    <row r="3722" spans="1:12" x14ac:dyDescent="0.15">
      <c r="A3722" s="1" t="s">
        <v>908</v>
      </c>
      <c r="B3722" s="1" t="s">
        <v>833</v>
      </c>
      <c r="C3722" s="1" t="s">
        <v>6260</v>
      </c>
      <c r="D3722" s="1" t="s">
        <v>1151</v>
      </c>
      <c r="E3722" s="1" t="s">
        <v>164</v>
      </c>
      <c r="F3722" s="3">
        <v>0</v>
      </c>
      <c r="G3722" s="8" t="s">
        <v>2771</v>
      </c>
      <c r="H3722" s="8" t="s">
        <v>5161</v>
      </c>
      <c r="I3722" s="3">
        <v>32</v>
      </c>
      <c r="J3722" s="3" t="s">
        <v>6261</v>
      </c>
      <c r="K3722" s="17" t="str">
        <f>HYPERLINK("http://ictvonline.org/taxonomyHistory.asp?taxnode_id=20174089","ICTVonline=20174089")</f>
        <v>ICTVonline=20174089</v>
      </c>
      <c r="L3722" s="3">
        <v>3721</v>
      </c>
    </row>
    <row r="3723" spans="1:12" x14ac:dyDescent="0.15">
      <c r="A3723" s="1" t="s">
        <v>908</v>
      </c>
      <c r="B3723" s="1" t="s">
        <v>833</v>
      </c>
      <c r="C3723" s="1" t="s">
        <v>6260</v>
      </c>
      <c r="D3723" s="1" t="s">
        <v>1151</v>
      </c>
      <c r="E3723" s="1" t="s">
        <v>165</v>
      </c>
      <c r="F3723" s="3">
        <v>0</v>
      </c>
      <c r="G3723" s="8" t="s">
        <v>2771</v>
      </c>
      <c r="H3723" s="8" t="s">
        <v>5161</v>
      </c>
      <c r="I3723" s="3">
        <v>32</v>
      </c>
      <c r="J3723" s="3" t="s">
        <v>6261</v>
      </c>
      <c r="K3723" s="17" t="str">
        <f>HYPERLINK("http://ictvonline.org/taxonomyHistory.asp?taxnode_id=20174090","ICTVonline=20174090")</f>
        <v>ICTVonline=20174090</v>
      </c>
      <c r="L3723" s="3">
        <v>3722</v>
      </c>
    </row>
    <row r="3724" spans="1:12" x14ac:dyDescent="0.15">
      <c r="A3724" s="1" t="s">
        <v>908</v>
      </c>
      <c r="B3724" s="1" t="s">
        <v>833</v>
      </c>
      <c r="C3724" s="1" t="s">
        <v>6260</v>
      </c>
      <c r="D3724" s="1" t="s">
        <v>1151</v>
      </c>
      <c r="E3724" s="1" t="s">
        <v>2538</v>
      </c>
      <c r="F3724" s="3">
        <v>0</v>
      </c>
      <c r="G3724" s="8" t="s">
        <v>2771</v>
      </c>
      <c r="H3724" s="8" t="s">
        <v>5161</v>
      </c>
      <c r="I3724" s="3">
        <v>32</v>
      </c>
      <c r="J3724" s="3" t="s">
        <v>6261</v>
      </c>
      <c r="K3724" s="17" t="str">
        <f>HYPERLINK("http://ictvonline.org/taxonomyHistory.asp?taxnode_id=20174091","ICTVonline=20174091")</f>
        <v>ICTVonline=20174091</v>
      </c>
      <c r="L3724" s="3">
        <v>3723</v>
      </c>
    </row>
    <row r="3725" spans="1:12" x14ac:dyDescent="0.15">
      <c r="A3725" s="1" t="s">
        <v>908</v>
      </c>
      <c r="B3725" s="1" t="s">
        <v>833</v>
      </c>
      <c r="C3725" s="1" t="s">
        <v>6260</v>
      </c>
      <c r="D3725" s="1" t="s">
        <v>1152</v>
      </c>
      <c r="E3725" s="1" t="s">
        <v>166</v>
      </c>
      <c r="F3725" s="3">
        <v>1</v>
      </c>
      <c r="G3725" s="8" t="s">
        <v>2771</v>
      </c>
      <c r="H3725" s="8" t="s">
        <v>5161</v>
      </c>
      <c r="I3725" s="3">
        <v>32</v>
      </c>
      <c r="J3725" s="3" t="s">
        <v>6261</v>
      </c>
      <c r="K3725" s="17" t="str">
        <f>HYPERLINK("http://ictvonline.org/taxonomyHistory.asp?taxnode_id=20174093","ICTVonline=20174093")</f>
        <v>ICTVonline=20174093</v>
      </c>
      <c r="L3725" s="3">
        <v>3724</v>
      </c>
    </row>
    <row r="3726" spans="1:12" x14ac:dyDescent="0.15">
      <c r="A3726" s="1" t="s">
        <v>908</v>
      </c>
      <c r="B3726" s="1" t="s">
        <v>833</v>
      </c>
      <c r="C3726" s="1" t="s">
        <v>6260</v>
      </c>
      <c r="D3726" s="1" t="s">
        <v>1152</v>
      </c>
      <c r="E3726" s="1" t="s">
        <v>167</v>
      </c>
      <c r="F3726" s="3">
        <v>0</v>
      </c>
      <c r="G3726" s="8" t="s">
        <v>2771</v>
      </c>
      <c r="H3726" s="8" t="s">
        <v>5161</v>
      </c>
      <c r="I3726" s="3">
        <v>32</v>
      </c>
      <c r="J3726" s="3" t="s">
        <v>6261</v>
      </c>
      <c r="K3726" s="17" t="str">
        <f>HYPERLINK("http://ictvonline.org/taxonomyHistory.asp?taxnode_id=20174094","ICTVonline=20174094")</f>
        <v>ICTVonline=20174094</v>
      </c>
      <c r="L3726" s="3">
        <v>3725</v>
      </c>
    </row>
    <row r="3727" spans="1:12" x14ac:dyDescent="0.15">
      <c r="A3727" s="1" t="s">
        <v>908</v>
      </c>
      <c r="B3727" s="1" t="s">
        <v>833</v>
      </c>
      <c r="C3727" s="1" t="s">
        <v>6260</v>
      </c>
      <c r="D3727" s="1" t="s">
        <v>1152</v>
      </c>
      <c r="E3727" s="1" t="s">
        <v>4045</v>
      </c>
      <c r="F3727" s="3">
        <v>0</v>
      </c>
      <c r="G3727" s="8" t="s">
        <v>2771</v>
      </c>
      <c r="H3727" s="8" t="s">
        <v>5161</v>
      </c>
      <c r="I3727" s="3">
        <v>32</v>
      </c>
      <c r="J3727" s="3" t="s">
        <v>6261</v>
      </c>
      <c r="K3727" s="17" t="str">
        <f>HYPERLINK("http://ictvonline.org/taxonomyHistory.asp?taxnode_id=20174095","ICTVonline=20174095")</f>
        <v>ICTVonline=20174095</v>
      </c>
      <c r="L3727" s="3">
        <v>3726</v>
      </c>
    </row>
    <row r="3728" spans="1:12" x14ac:dyDescent="0.15">
      <c r="A3728" s="1" t="s">
        <v>908</v>
      </c>
      <c r="B3728" s="1" t="s">
        <v>833</v>
      </c>
      <c r="C3728" s="1" t="s">
        <v>6260</v>
      </c>
      <c r="D3728" s="1" t="s">
        <v>1153</v>
      </c>
      <c r="E3728" s="1" t="s">
        <v>168</v>
      </c>
      <c r="F3728" s="3">
        <v>1</v>
      </c>
      <c r="G3728" s="8" t="s">
        <v>2771</v>
      </c>
      <c r="H3728" s="8" t="s">
        <v>5161</v>
      </c>
      <c r="I3728" s="3">
        <v>32</v>
      </c>
      <c r="J3728" s="3" t="s">
        <v>6261</v>
      </c>
      <c r="K3728" s="17" t="str">
        <f>HYPERLINK("http://ictvonline.org/taxonomyHistory.asp?taxnode_id=20174097","ICTVonline=20174097")</f>
        <v>ICTVonline=20174097</v>
      </c>
      <c r="L3728" s="3">
        <v>3727</v>
      </c>
    </row>
    <row r="3729" spans="1:12" x14ac:dyDescent="0.15">
      <c r="A3729" s="1" t="s">
        <v>908</v>
      </c>
      <c r="B3729" s="1" t="s">
        <v>833</v>
      </c>
      <c r="C3729" s="1" t="s">
        <v>6260</v>
      </c>
      <c r="D3729" s="1" t="s">
        <v>169</v>
      </c>
      <c r="E3729" s="1" t="s">
        <v>170</v>
      </c>
      <c r="F3729" s="3">
        <v>1</v>
      </c>
      <c r="G3729" s="8" t="s">
        <v>2771</v>
      </c>
      <c r="H3729" s="8" t="s">
        <v>5161</v>
      </c>
      <c r="I3729" s="3">
        <v>32</v>
      </c>
      <c r="J3729" s="3" t="s">
        <v>6261</v>
      </c>
      <c r="K3729" s="17" t="str">
        <f>HYPERLINK("http://ictvonline.org/taxonomyHistory.asp?taxnode_id=20174099","ICTVonline=20174099")</f>
        <v>ICTVonline=20174099</v>
      </c>
      <c r="L3729" s="3">
        <v>3728</v>
      </c>
    </row>
    <row r="3730" spans="1:12" x14ac:dyDescent="0.15">
      <c r="A3730" s="1" t="s">
        <v>908</v>
      </c>
      <c r="B3730" s="1" t="s">
        <v>833</v>
      </c>
      <c r="C3730" s="1" t="s">
        <v>6260</v>
      </c>
      <c r="D3730" s="1" t="s">
        <v>554</v>
      </c>
      <c r="E3730" s="1" t="s">
        <v>171</v>
      </c>
      <c r="F3730" s="3">
        <v>1</v>
      </c>
      <c r="G3730" s="8" t="s">
        <v>2771</v>
      </c>
      <c r="H3730" s="8" t="s">
        <v>5161</v>
      </c>
      <c r="I3730" s="3">
        <v>32</v>
      </c>
      <c r="J3730" s="3" t="s">
        <v>6261</v>
      </c>
      <c r="K3730" s="17" t="str">
        <f>HYPERLINK("http://ictvonline.org/taxonomyHistory.asp?taxnode_id=20174101","ICTVonline=20174101")</f>
        <v>ICTVonline=20174101</v>
      </c>
      <c r="L3730" s="3">
        <v>3729</v>
      </c>
    </row>
    <row r="3731" spans="1:12" x14ac:dyDescent="0.15">
      <c r="A3731" s="1" t="s">
        <v>908</v>
      </c>
      <c r="B3731" s="1" t="s">
        <v>833</v>
      </c>
      <c r="C3731" s="1" t="s">
        <v>6260</v>
      </c>
      <c r="D3731" s="1" t="s">
        <v>172</v>
      </c>
      <c r="E3731" s="1" t="s">
        <v>173</v>
      </c>
      <c r="F3731" s="3">
        <v>1</v>
      </c>
      <c r="G3731" s="8" t="s">
        <v>2771</v>
      </c>
      <c r="H3731" s="8" t="s">
        <v>5161</v>
      </c>
      <c r="I3731" s="3">
        <v>32</v>
      </c>
      <c r="J3731" s="3" t="s">
        <v>6261</v>
      </c>
      <c r="K3731" s="17" t="str">
        <f>HYPERLINK("http://ictvonline.org/taxonomyHistory.asp?taxnode_id=20174103","ICTVonline=20174103")</f>
        <v>ICTVonline=20174103</v>
      </c>
      <c r="L3731" s="3">
        <v>3730</v>
      </c>
    </row>
    <row r="3732" spans="1:12" x14ac:dyDescent="0.15">
      <c r="A3732" s="1" t="s">
        <v>908</v>
      </c>
      <c r="B3732" s="1" t="s">
        <v>833</v>
      </c>
      <c r="C3732" s="1" t="s">
        <v>6260</v>
      </c>
      <c r="D3732" s="1" t="s">
        <v>1154</v>
      </c>
      <c r="E3732" s="1" t="s">
        <v>174</v>
      </c>
      <c r="F3732" s="3">
        <v>1</v>
      </c>
      <c r="G3732" s="8" t="s">
        <v>2771</v>
      </c>
      <c r="H3732" s="8" t="s">
        <v>5161</v>
      </c>
      <c r="I3732" s="3">
        <v>32</v>
      </c>
      <c r="J3732" s="3" t="s">
        <v>6261</v>
      </c>
      <c r="K3732" s="17" t="str">
        <f>HYPERLINK("http://ictvonline.org/taxonomyHistory.asp?taxnode_id=20174105","ICTVonline=20174105")</f>
        <v>ICTVonline=20174105</v>
      </c>
      <c r="L3732" s="3">
        <v>3731</v>
      </c>
    </row>
    <row r="3733" spans="1:12" x14ac:dyDescent="0.15">
      <c r="A3733" s="1" t="s">
        <v>908</v>
      </c>
      <c r="B3733" s="1" t="s">
        <v>833</v>
      </c>
      <c r="C3733" s="1" t="s">
        <v>6260</v>
      </c>
      <c r="D3733" s="1" t="s">
        <v>1154</v>
      </c>
      <c r="E3733" s="1" t="s">
        <v>175</v>
      </c>
      <c r="F3733" s="3">
        <v>0</v>
      </c>
      <c r="G3733" s="8" t="s">
        <v>2771</v>
      </c>
      <c r="H3733" s="8" t="s">
        <v>5161</v>
      </c>
      <c r="I3733" s="3">
        <v>32</v>
      </c>
      <c r="J3733" s="3" t="s">
        <v>6261</v>
      </c>
      <c r="K3733" s="17" t="str">
        <f>HYPERLINK("http://ictvonline.org/taxonomyHistory.asp?taxnode_id=20174106","ICTVonline=20174106")</f>
        <v>ICTVonline=20174106</v>
      </c>
      <c r="L3733" s="3">
        <v>3732</v>
      </c>
    </row>
    <row r="3734" spans="1:12" x14ac:dyDescent="0.15">
      <c r="A3734" s="1" t="s">
        <v>908</v>
      </c>
      <c r="B3734" s="1" t="s">
        <v>833</v>
      </c>
      <c r="C3734" s="1" t="s">
        <v>6260</v>
      </c>
      <c r="D3734" s="1" t="s">
        <v>176</v>
      </c>
      <c r="E3734" s="1" t="s">
        <v>177</v>
      </c>
      <c r="F3734" s="3">
        <v>1</v>
      </c>
      <c r="G3734" s="8" t="s">
        <v>2771</v>
      </c>
      <c r="H3734" s="8" t="s">
        <v>5161</v>
      </c>
      <c r="I3734" s="3">
        <v>32</v>
      </c>
      <c r="J3734" s="3" t="s">
        <v>6261</v>
      </c>
      <c r="K3734" s="17" t="str">
        <f>HYPERLINK("http://ictvonline.org/taxonomyHistory.asp?taxnode_id=20174108","ICTVonline=20174108")</f>
        <v>ICTVonline=20174108</v>
      </c>
      <c r="L3734" s="3">
        <v>3733</v>
      </c>
    </row>
    <row r="3735" spans="1:12" x14ac:dyDescent="0.15">
      <c r="A3735" s="1" t="s">
        <v>908</v>
      </c>
      <c r="B3735" s="1" t="s">
        <v>833</v>
      </c>
      <c r="C3735" s="1" t="s">
        <v>6260</v>
      </c>
      <c r="D3735" s="1" t="s">
        <v>176</v>
      </c>
      <c r="E3735" s="1" t="s">
        <v>6270</v>
      </c>
      <c r="F3735" s="3">
        <v>0</v>
      </c>
      <c r="G3735" s="8" t="s">
        <v>2771</v>
      </c>
      <c r="H3735" s="8" t="s">
        <v>5159</v>
      </c>
      <c r="I3735" s="3">
        <v>32</v>
      </c>
      <c r="J3735" s="3" t="s">
        <v>6261</v>
      </c>
      <c r="K3735" s="17" t="str">
        <f>HYPERLINK("http://ictvonline.org/taxonomyHistory.asp?taxnode_id=20175872","ICTVonline=20175872")</f>
        <v>ICTVonline=20175872</v>
      </c>
      <c r="L3735" s="3">
        <v>3734</v>
      </c>
    </row>
    <row r="3736" spans="1:12" x14ac:dyDescent="0.15">
      <c r="A3736" s="1" t="s">
        <v>908</v>
      </c>
      <c r="B3736" s="1" t="s">
        <v>833</v>
      </c>
      <c r="C3736" s="1" t="s">
        <v>6260</v>
      </c>
      <c r="D3736" s="1" t="s">
        <v>176</v>
      </c>
      <c r="E3736" s="1" t="s">
        <v>6271</v>
      </c>
      <c r="F3736" s="3">
        <v>0</v>
      </c>
      <c r="G3736" s="8" t="s">
        <v>2771</v>
      </c>
      <c r="H3736" s="8" t="s">
        <v>5159</v>
      </c>
      <c r="I3736" s="3">
        <v>32</v>
      </c>
      <c r="J3736" s="3" t="s">
        <v>6261</v>
      </c>
      <c r="K3736" s="17" t="str">
        <f>HYPERLINK("http://ictvonline.org/taxonomyHistory.asp?taxnode_id=20175873","ICTVonline=20175873")</f>
        <v>ICTVonline=20175873</v>
      </c>
      <c r="L3736" s="3">
        <v>3735</v>
      </c>
    </row>
    <row r="3737" spans="1:12" x14ac:dyDescent="0.15">
      <c r="A3737" s="1" t="s">
        <v>908</v>
      </c>
      <c r="B3737" s="1" t="s">
        <v>833</v>
      </c>
      <c r="C3737" s="1" t="s">
        <v>6260</v>
      </c>
      <c r="D3737" s="1" t="s">
        <v>178</v>
      </c>
      <c r="E3737" s="1" t="s">
        <v>179</v>
      </c>
      <c r="F3737" s="3">
        <v>1</v>
      </c>
      <c r="G3737" s="8" t="s">
        <v>2771</v>
      </c>
      <c r="H3737" s="8" t="s">
        <v>5161</v>
      </c>
      <c r="I3737" s="3">
        <v>32</v>
      </c>
      <c r="J3737" s="3" t="s">
        <v>6261</v>
      </c>
      <c r="K3737" s="17" t="str">
        <f>HYPERLINK("http://ictvonline.org/taxonomyHistory.asp?taxnode_id=20174110","ICTVonline=20174110")</f>
        <v>ICTVonline=20174110</v>
      </c>
      <c r="L3737" s="3">
        <v>3736</v>
      </c>
    </row>
    <row r="3738" spans="1:12" x14ac:dyDescent="0.15">
      <c r="A3738" s="1" t="s">
        <v>908</v>
      </c>
      <c r="B3738" s="1" t="s">
        <v>833</v>
      </c>
      <c r="C3738" s="1" t="s">
        <v>6260</v>
      </c>
      <c r="D3738" s="1" t="s">
        <v>178</v>
      </c>
      <c r="E3738" s="1" t="s">
        <v>4046</v>
      </c>
      <c r="F3738" s="3">
        <v>0</v>
      </c>
      <c r="G3738" s="8" t="s">
        <v>2771</v>
      </c>
      <c r="H3738" s="8" t="s">
        <v>5161</v>
      </c>
      <c r="I3738" s="3">
        <v>32</v>
      </c>
      <c r="J3738" s="3" t="s">
        <v>6261</v>
      </c>
      <c r="K3738" s="17" t="str">
        <f>HYPERLINK("http://ictvonline.org/taxonomyHistory.asp?taxnode_id=20174111","ICTVonline=20174111")</f>
        <v>ICTVonline=20174111</v>
      </c>
      <c r="L3738" s="3">
        <v>3737</v>
      </c>
    </row>
    <row r="3739" spans="1:12" x14ac:dyDescent="0.15">
      <c r="A3739" s="1" t="s">
        <v>908</v>
      </c>
      <c r="B3739" s="1" t="s">
        <v>833</v>
      </c>
      <c r="C3739" s="1" t="s">
        <v>6260</v>
      </c>
      <c r="D3739" s="1" t="s">
        <v>180</v>
      </c>
      <c r="E3739" s="1" t="s">
        <v>181</v>
      </c>
      <c r="F3739" s="3">
        <v>1</v>
      </c>
      <c r="G3739" s="8" t="s">
        <v>2771</v>
      </c>
      <c r="H3739" s="8" t="s">
        <v>5161</v>
      </c>
      <c r="I3739" s="3">
        <v>32</v>
      </c>
      <c r="J3739" s="3" t="s">
        <v>6261</v>
      </c>
      <c r="K3739" s="17" t="str">
        <f>HYPERLINK("http://ictvonline.org/taxonomyHistory.asp?taxnode_id=20174113","ICTVonline=20174113")</f>
        <v>ICTVonline=20174113</v>
      </c>
      <c r="L3739" s="3">
        <v>3738</v>
      </c>
    </row>
    <row r="3740" spans="1:12" x14ac:dyDescent="0.15">
      <c r="A3740" s="1" t="s">
        <v>908</v>
      </c>
      <c r="B3740" s="1" t="s">
        <v>833</v>
      </c>
      <c r="C3740" s="1" t="s">
        <v>6260</v>
      </c>
      <c r="D3740" s="1" t="s">
        <v>182</v>
      </c>
      <c r="E3740" s="1" t="s">
        <v>183</v>
      </c>
      <c r="F3740" s="3">
        <v>1</v>
      </c>
      <c r="G3740" s="8" t="s">
        <v>2771</v>
      </c>
      <c r="H3740" s="8" t="s">
        <v>5161</v>
      </c>
      <c r="I3740" s="3">
        <v>32</v>
      </c>
      <c r="J3740" s="3" t="s">
        <v>6261</v>
      </c>
      <c r="K3740" s="17" t="str">
        <f>HYPERLINK("http://ictvonline.org/taxonomyHistory.asp?taxnode_id=20174115","ICTVonline=20174115")</f>
        <v>ICTVonline=20174115</v>
      </c>
      <c r="L3740" s="3">
        <v>3739</v>
      </c>
    </row>
    <row r="3741" spans="1:12" x14ac:dyDescent="0.15">
      <c r="A3741" s="1" t="s">
        <v>908</v>
      </c>
      <c r="B3741" s="1" t="s">
        <v>833</v>
      </c>
      <c r="C3741" s="1" t="s">
        <v>6260</v>
      </c>
      <c r="D3741" s="1" t="s">
        <v>182</v>
      </c>
      <c r="E3741" s="1" t="s">
        <v>2539</v>
      </c>
      <c r="F3741" s="3">
        <v>0</v>
      </c>
      <c r="G3741" s="8" t="s">
        <v>2771</v>
      </c>
      <c r="H3741" s="8" t="s">
        <v>5161</v>
      </c>
      <c r="I3741" s="3">
        <v>32</v>
      </c>
      <c r="J3741" s="3" t="s">
        <v>6261</v>
      </c>
      <c r="K3741" s="17" t="str">
        <f>HYPERLINK("http://ictvonline.org/taxonomyHistory.asp?taxnode_id=20174116","ICTVonline=20174116")</f>
        <v>ICTVonline=20174116</v>
      </c>
      <c r="L3741" s="3">
        <v>3740</v>
      </c>
    </row>
    <row r="3742" spans="1:12" x14ac:dyDescent="0.15">
      <c r="A3742" s="1" t="s">
        <v>908</v>
      </c>
      <c r="B3742" s="1" t="s">
        <v>833</v>
      </c>
      <c r="C3742" s="1" t="s">
        <v>6260</v>
      </c>
      <c r="D3742" s="1" t="s">
        <v>182</v>
      </c>
      <c r="E3742" s="1" t="s">
        <v>4047</v>
      </c>
      <c r="F3742" s="3">
        <v>0</v>
      </c>
      <c r="G3742" s="8" t="s">
        <v>2771</v>
      </c>
      <c r="H3742" s="8" t="s">
        <v>5161</v>
      </c>
      <c r="I3742" s="3">
        <v>32</v>
      </c>
      <c r="J3742" s="3" t="s">
        <v>6261</v>
      </c>
      <c r="K3742" s="17" t="str">
        <f>HYPERLINK("http://ictvonline.org/taxonomyHistory.asp?taxnode_id=20174117","ICTVonline=20174117")</f>
        <v>ICTVonline=20174117</v>
      </c>
      <c r="L3742" s="3">
        <v>3741</v>
      </c>
    </row>
    <row r="3743" spans="1:12" x14ac:dyDescent="0.15">
      <c r="A3743" s="1" t="s">
        <v>908</v>
      </c>
      <c r="B3743" s="1" t="s">
        <v>833</v>
      </c>
      <c r="C3743" s="1" t="s">
        <v>6260</v>
      </c>
      <c r="D3743" s="1" t="s">
        <v>182</v>
      </c>
      <c r="E3743" s="1" t="s">
        <v>6272</v>
      </c>
      <c r="F3743" s="3">
        <v>0</v>
      </c>
      <c r="G3743" s="8" t="s">
        <v>2771</v>
      </c>
      <c r="H3743" s="8" t="s">
        <v>5159</v>
      </c>
      <c r="I3743" s="3">
        <v>32</v>
      </c>
      <c r="J3743" s="3" t="s">
        <v>6261</v>
      </c>
      <c r="K3743" s="17" t="str">
        <f>HYPERLINK("http://ictvonline.org/taxonomyHistory.asp?taxnode_id=20175874","ICTVonline=20175874")</f>
        <v>ICTVonline=20175874</v>
      </c>
      <c r="L3743" s="3">
        <v>3742</v>
      </c>
    </row>
    <row r="3744" spans="1:12" x14ac:dyDescent="0.15">
      <c r="A3744" s="1" t="s">
        <v>908</v>
      </c>
      <c r="B3744" s="1" t="s">
        <v>833</v>
      </c>
      <c r="C3744" s="1" t="s">
        <v>6260</v>
      </c>
      <c r="D3744" s="1" t="s">
        <v>1155</v>
      </c>
      <c r="E3744" s="1" t="s">
        <v>184</v>
      </c>
      <c r="F3744" s="3">
        <v>1</v>
      </c>
      <c r="G3744" s="8" t="s">
        <v>2771</v>
      </c>
      <c r="H3744" s="8" t="s">
        <v>5161</v>
      </c>
      <c r="I3744" s="3">
        <v>32</v>
      </c>
      <c r="J3744" s="3" t="s">
        <v>6261</v>
      </c>
      <c r="K3744" s="17" t="str">
        <f>HYPERLINK("http://ictvonline.org/taxonomyHistory.asp?taxnode_id=20174119","ICTVonline=20174119")</f>
        <v>ICTVonline=20174119</v>
      </c>
      <c r="L3744" s="3">
        <v>3743</v>
      </c>
    </row>
    <row r="3745" spans="1:12" x14ac:dyDescent="0.15">
      <c r="A3745" s="1" t="s">
        <v>908</v>
      </c>
      <c r="B3745" s="1" t="s">
        <v>833</v>
      </c>
      <c r="C3745" s="1" t="s">
        <v>6260</v>
      </c>
      <c r="D3745" s="1" t="s">
        <v>4048</v>
      </c>
      <c r="E3745" s="1" t="s">
        <v>4049</v>
      </c>
      <c r="F3745" s="3">
        <v>1</v>
      </c>
      <c r="G3745" s="8" t="s">
        <v>2771</v>
      </c>
      <c r="H3745" s="8" t="s">
        <v>5161</v>
      </c>
      <c r="I3745" s="3">
        <v>32</v>
      </c>
      <c r="J3745" s="3" t="s">
        <v>6261</v>
      </c>
      <c r="K3745" s="17" t="str">
        <f>HYPERLINK("http://ictvonline.org/taxonomyHistory.asp?taxnode_id=20174121","ICTVonline=20174121")</f>
        <v>ICTVonline=20174121</v>
      </c>
      <c r="L3745" s="3">
        <v>3744</v>
      </c>
    </row>
    <row r="3746" spans="1:12" x14ac:dyDescent="0.15">
      <c r="A3746" s="1" t="s">
        <v>908</v>
      </c>
      <c r="B3746" s="1" t="s">
        <v>833</v>
      </c>
      <c r="C3746" s="1" t="s">
        <v>6260</v>
      </c>
      <c r="D3746" s="1" t="s">
        <v>4050</v>
      </c>
      <c r="E3746" s="1" t="s">
        <v>4051</v>
      </c>
      <c r="F3746" s="3">
        <v>1</v>
      </c>
      <c r="G3746" s="8" t="s">
        <v>2771</v>
      </c>
      <c r="H3746" s="8" t="s">
        <v>5161</v>
      </c>
      <c r="I3746" s="3">
        <v>32</v>
      </c>
      <c r="J3746" s="3" t="s">
        <v>6261</v>
      </c>
      <c r="K3746" s="17" t="str">
        <f>HYPERLINK("http://ictvonline.org/taxonomyHistory.asp?taxnode_id=20174123","ICTVonline=20174123")</f>
        <v>ICTVonline=20174123</v>
      </c>
      <c r="L3746" s="3">
        <v>3745</v>
      </c>
    </row>
    <row r="3747" spans="1:12" x14ac:dyDescent="0.15">
      <c r="A3747" s="1" t="s">
        <v>908</v>
      </c>
      <c r="B3747" s="1" t="s">
        <v>833</v>
      </c>
      <c r="C3747" s="1" t="s">
        <v>6260</v>
      </c>
      <c r="D3747" s="1" t="s">
        <v>4052</v>
      </c>
      <c r="E3747" s="1" t="s">
        <v>4053</v>
      </c>
      <c r="F3747" s="3">
        <v>1</v>
      </c>
      <c r="G3747" s="8" t="s">
        <v>2771</v>
      </c>
      <c r="H3747" s="8" t="s">
        <v>5161</v>
      </c>
      <c r="I3747" s="3">
        <v>32</v>
      </c>
      <c r="J3747" s="3" t="s">
        <v>6261</v>
      </c>
      <c r="K3747" s="17" t="str">
        <f>HYPERLINK("http://ictvonline.org/taxonomyHistory.asp?taxnode_id=20174125","ICTVonline=20174125")</f>
        <v>ICTVonline=20174125</v>
      </c>
      <c r="L3747" s="3">
        <v>3746</v>
      </c>
    </row>
    <row r="3748" spans="1:12" x14ac:dyDescent="0.15">
      <c r="A3748" s="1" t="s">
        <v>908</v>
      </c>
      <c r="B3748" s="1" t="s">
        <v>833</v>
      </c>
      <c r="C3748" s="1" t="s">
        <v>6260</v>
      </c>
      <c r="D3748" s="1" t="s">
        <v>6273</v>
      </c>
      <c r="E3748" s="1" t="s">
        <v>6274</v>
      </c>
      <c r="F3748" s="3">
        <v>1</v>
      </c>
      <c r="G3748" s="8" t="s">
        <v>2771</v>
      </c>
      <c r="H3748" s="8" t="s">
        <v>5159</v>
      </c>
      <c r="I3748" s="3">
        <v>32</v>
      </c>
      <c r="J3748" s="3" t="s">
        <v>6261</v>
      </c>
      <c r="K3748" s="17" t="str">
        <f>HYPERLINK("http://ictvonline.org/taxonomyHistory.asp?taxnode_id=20175875","ICTVonline=20175875")</f>
        <v>ICTVonline=20175875</v>
      </c>
      <c r="L3748" s="3">
        <v>3747</v>
      </c>
    </row>
    <row r="3749" spans="1:12" x14ac:dyDescent="0.15">
      <c r="A3749" s="1" t="s">
        <v>908</v>
      </c>
      <c r="B3749" s="1" t="s">
        <v>833</v>
      </c>
      <c r="C3749" s="1" t="s">
        <v>6260</v>
      </c>
      <c r="D3749" s="1" t="s">
        <v>6275</v>
      </c>
      <c r="E3749" s="1" t="s">
        <v>6276</v>
      </c>
      <c r="F3749" s="3">
        <v>1</v>
      </c>
      <c r="G3749" s="8" t="s">
        <v>2771</v>
      </c>
      <c r="H3749" s="8" t="s">
        <v>5159</v>
      </c>
      <c r="I3749" s="3">
        <v>32</v>
      </c>
      <c r="J3749" s="3" t="s">
        <v>6261</v>
      </c>
      <c r="K3749" s="17" t="str">
        <f>HYPERLINK("http://ictvonline.org/taxonomyHistory.asp?taxnode_id=20175877","ICTVonline=20175877")</f>
        <v>ICTVonline=20175877</v>
      </c>
      <c r="L3749" s="3">
        <v>3748</v>
      </c>
    </row>
    <row r="3750" spans="1:12" x14ac:dyDescent="0.15">
      <c r="A3750" s="1" t="s">
        <v>908</v>
      </c>
      <c r="B3750" s="1" t="s">
        <v>833</v>
      </c>
      <c r="C3750" s="1" t="s">
        <v>6260</v>
      </c>
      <c r="D3750" s="1" t="s">
        <v>6277</v>
      </c>
      <c r="E3750" s="1" t="s">
        <v>6278</v>
      </c>
      <c r="F3750" s="3">
        <v>1</v>
      </c>
      <c r="G3750" s="8" t="s">
        <v>2771</v>
      </c>
      <c r="H3750" s="8" t="s">
        <v>5159</v>
      </c>
      <c r="I3750" s="3">
        <v>32</v>
      </c>
      <c r="J3750" s="3" t="s">
        <v>6261</v>
      </c>
      <c r="K3750" s="17" t="str">
        <f>HYPERLINK("http://ictvonline.org/taxonomyHistory.asp?taxnode_id=20175879","ICTVonline=20175879")</f>
        <v>ICTVonline=20175879</v>
      </c>
      <c r="L3750" s="3">
        <v>3749</v>
      </c>
    </row>
    <row r="3751" spans="1:12" x14ac:dyDescent="0.15">
      <c r="A3751" s="1" t="s">
        <v>908</v>
      </c>
      <c r="B3751" s="1" t="s">
        <v>833</v>
      </c>
      <c r="C3751" s="1" t="s">
        <v>6260</v>
      </c>
      <c r="D3751" s="1" t="s">
        <v>4054</v>
      </c>
      <c r="E3751" s="1" t="s">
        <v>4055</v>
      </c>
      <c r="F3751" s="3">
        <v>1</v>
      </c>
      <c r="G3751" s="8" t="s">
        <v>2771</v>
      </c>
      <c r="H3751" s="8" t="s">
        <v>5161</v>
      </c>
      <c r="I3751" s="3">
        <v>32</v>
      </c>
      <c r="J3751" s="3" t="s">
        <v>6261</v>
      </c>
      <c r="K3751" s="17" t="str">
        <f>HYPERLINK("http://ictvonline.org/taxonomyHistory.asp?taxnode_id=20174127","ICTVonline=20174127")</f>
        <v>ICTVonline=20174127</v>
      </c>
      <c r="L3751" s="3">
        <v>3750</v>
      </c>
    </row>
    <row r="3752" spans="1:12" x14ac:dyDescent="0.15">
      <c r="A3752" s="1" t="s">
        <v>908</v>
      </c>
      <c r="B3752" s="1" t="s">
        <v>833</v>
      </c>
      <c r="C3752" s="1" t="s">
        <v>6260</v>
      </c>
      <c r="D3752" s="1" t="s">
        <v>185</v>
      </c>
      <c r="E3752" s="1" t="s">
        <v>186</v>
      </c>
      <c r="F3752" s="3">
        <v>1</v>
      </c>
      <c r="G3752" s="8" t="s">
        <v>2771</v>
      </c>
      <c r="H3752" s="8" t="s">
        <v>5161</v>
      </c>
      <c r="I3752" s="3">
        <v>32</v>
      </c>
      <c r="J3752" s="3" t="s">
        <v>6261</v>
      </c>
      <c r="K3752" s="17" t="str">
        <f>HYPERLINK("http://ictvonline.org/taxonomyHistory.asp?taxnode_id=20174129","ICTVonline=20174129")</f>
        <v>ICTVonline=20174129</v>
      </c>
      <c r="L3752" s="3">
        <v>3751</v>
      </c>
    </row>
    <row r="3753" spans="1:12" x14ac:dyDescent="0.15">
      <c r="A3753" s="1" t="s">
        <v>908</v>
      </c>
      <c r="B3753" s="1" t="s">
        <v>833</v>
      </c>
      <c r="C3753" s="1" t="s">
        <v>6260</v>
      </c>
      <c r="D3753" s="1" t="s">
        <v>185</v>
      </c>
      <c r="E3753" s="1" t="s">
        <v>187</v>
      </c>
      <c r="F3753" s="3">
        <v>0</v>
      </c>
      <c r="G3753" s="8" t="s">
        <v>2771</v>
      </c>
      <c r="H3753" s="8" t="s">
        <v>5161</v>
      </c>
      <c r="I3753" s="3">
        <v>32</v>
      </c>
      <c r="J3753" s="3" t="s">
        <v>6261</v>
      </c>
      <c r="K3753" s="17" t="str">
        <f>HYPERLINK("http://ictvonline.org/taxonomyHistory.asp?taxnode_id=20174130","ICTVonline=20174130")</f>
        <v>ICTVonline=20174130</v>
      </c>
      <c r="L3753" s="3">
        <v>3752</v>
      </c>
    </row>
    <row r="3754" spans="1:12" x14ac:dyDescent="0.15">
      <c r="A3754" s="1" t="s">
        <v>908</v>
      </c>
      <c r="B3754" s="1" t="s">
        <v>833</v>
      </c>
      <c r="C3754" s="1" t="s">
        <v>6260</v>
      </c>
      <c r="D3754" s="1" t="s">
        <v>185</v>
      </c>
      <c r="E3754" s="1" t="s">
        <v>2540</v>
      </c>
      <c r="F3754" s="3">
        <v>0</v>
      </c>
      <c r="G3754" s="8" t="s">
        <v>2771</v>
      </c>
      <c r="H3754" s="8" t="s">
        <v>5161</v>
      </c>
      <c r="I3754" s="3">
        <v>32</v>
      </c>
      <c r="J3754" s="3" t="s">
        <v>6261</v>
      </c>
      <c r="K3754" s="17" t="str">
        <f>HYPERLINK("http://ictvonline.org/taxonomyHistory.asp?taxnode_id=20174131","ICTVonline=20174131")</f>
        <v>ICTVonline=20174131</v>
      </c>
      <c r="L3754" s="3">
        <v>3753</v>
      </c>
    </row>
    <row r="3755" spans="1:12" x14ac:dyDescent="0.15">
      <c r="A3755" s="1" t="s">
        <v>908</v>
      </c>
      <c r="B3755" s="1" t="s">
        <v>833</v>
      </c>
      <c r="C3755" s="1" t="s">
        <v>6260</v>
      </c>
      <c r="D3755" s="1" t="s">
        <v>1682</v>
      </c>
      <c r="E3755" s="1" t="s">
        <v>188</v>
      </c>
      <c r="F3755" s="3">
        <v>1</v>
      </c>
      <c r="G3755" s="8" t="s">
        <v>2771</v>
      </c>
      <c r="H3755" s="8" t="s">
        <v>5161</v>
      </c>
      <c r="I3755" s="3">
        <v>32</v>
      </c>
      <c r="J3755" s="3" t="s">
        <v>6261</v>
      </c>
      <c r="K3755" s="17" t="str">
        <f>HYPERLINK("http://ictvonline.org/taxonomyHistory.asp?taxnode_id=20174133","ICTVonline=20174133")</f>
        <v>ICTVonline=20174133</v>
      </c>
      <c r="L3755" s="3">
        <v>3754</v>
      </c>
    </row>
    <row r="3756" spans="1:12" x14ac:dyDescent="0.15">
      <c r="A3756" s="1" t="s">
        <v>908</v>
      </c>
      <c r="B3756" s="1" t="s">
        <v>833</v>
      </c>
      <c r="C3756" s="1" t="s">
        <v>6260</v>
      </c>
      <c r="D3756" s="1" t="s">
        <v>1682</v>
      </c>
      <c r="E3756" s="1" t="s">
        <v>2541</v>
      </c>
      <c r="F3756" s="3">
        <v>0</v>
      </c>
      <c r="G3756" s="8" t="s">
        <v>2771</v>
      </c>
      <c r="H3756" s="8" t="s">
        <v>5161</v>
      </c>
      <c r="I3756" s="3">
        <v>32</v>
      </c>
      <c r="J3756" s="3" t="s">
        <v>6261</v>
      </c>
      <c r="K3756" s="17" t="str">
        <f>HYPERLINK("http://ictvonline.org/taxonomyHistory.asp?taxnode_id=20174134","ICTVonline=20174134")</f>
        <v>ICTVonline=20174134</v>
      </c>
      <c r="L3756" s="3">
        <v>3755</v>
      </c>
    </row>
    <row r="3757" spans="1:12" x14ac:dyDescent="0.15">
      <c r="A3757" s="1" t="s">
        <v>908</v>
      </c>
      <c r="B3757" s="1" t="s">
        <v>833</v>
      </c>
      <c r="C3757" s="1" t="s">
        <v>6260</v>
      </c>
      <c r="D3757" s="1" t="s">
        <v>1682</v>
      </c>
      <c r="E3757" s="1" t="s">
        <v>4056</v>
      </c>
      <c r="F3757" s="3">
        <v>0</v>
      </c>
      <c r="G3757" s="8" t="s">
        <v>2771</v>
      </c>
      <c r="H3757" s="8" t="s">
        <v>5161</v>
      </c>
      <c r="I3757" s="3">
        <v>32</v>
      </c>
      <c r="J3757" s="3" t="s">
        <v>6261</v>
      </c>
      <c r="K3757" s="17" t="str">
        <f>HYPERLINK("http://ictvonline.org/taxonomyHistory.asp?taxnode_id=20174135","ICTVonline=20174135")</f>
        <v>ICTVonline=20174135</v>
      </c>
      <c r="L3757" s="3">
        <v>3756</v>
      </c>
    </row>
    <row r="3758" spans="1:12" x14ac:dyDescent="0.15">
      <c r="A3758" s="1" t="s">
        <v>908</v>
      </c>
      <c r="B3758" s="1" t="s">
        <v>833</v>
      </c>
      <c r="C3758" s="1" t="s">
        <v>6260</v>
      </c>
      <c r="D3758" s="1" t="s">
        <v>1682</v>
      </c>
      <c r="E3758" s="1" t="s">
        <v>6279</v>
      </c>
      <c r="F3758" s="3">
        <v>0</v>
      </c>
      <c r="G3758" s="8" t="s">
        <v>2771</v>
      </c>
      <c r="H3758" s="8" t="s">
        <v>5159</v>
      </c>
      <c r="I3758" s="3">
        <v>32</v>
      </c>
      <c r="J3758" s="3" t="s">
        <v>6261</v>
      </c>
      <c r="K3758" s="17" t="str">
        <f>HYPERLINK("http://ictvonline.org/taxonomyHistory.asp?taxnode_id=20175881","ICTVonline=20175881")</f>
        <v>ICTVonline=20175881</v>
      </c>
      <c r="L3758" s="3">
        <v>3757</v>
      </c>
    </row>
    <row r="3759" spans="1:12" x14ac:dyDescent="0.15">
      <c r="A3759" s="1" t="s">
        <v>908</v>
      </c>
      <c r="B3759" s="1" t="s">
        <v>833</v>
      </c>
      <c r="C3759" s="1" t="s">
        <v>6260</v>
      </c>
      <c r="D3759" s="1" t="s">
        <v>1682</v>
      </c>
      <c r="E3759" s="1" t="s">
        <v>6280</v>
      </c>
      <c r="F3759" s="3">
        <v>0</v>
      </c>
      <c r="G3759" s="8" t="s">
        <v>2771</v>
      </c>
      <c r="H3759" s="8" t="s">
        <v>5159</v>
      </c>
      <c r="I3759" s="3">
        <v>32</v>
      </c>
      <c r="J3759" s="3" t="s">
        <v>6261</v>
      </c>
      <c r="K3759" s="17" t="str">
        <f>HYPERLINK("http://ictvonline.org/taxonomyHistory.asp?taxnode_id=20175882","ICTVonline=20175882")</f>
        <v>ICTVonline=20175882</v>
      </c>
      <c r="L3759" s="3">
        <v>3758</v>
      </c>
    </row>
    <row r="3760" spans="1:12" x14ac:dyDescent="0.15">
      <c r="A3760" s="1" t="s">
        <v>908</v>
      </c>
      <c r="B3760" s="1" t="s">
        <v>833</v>
      </c>
      <c r="C3760" s="1" t="s">
        <v>6260</v>
      </c>
      <c r="D3760" s="1" t="s">
        <v>1683</v>
      </c>
      <c r="E3760" s="1" t="s">
        <v>189</v>
      </c>
      <c r="F3760" s="3">
        <v>1</v>
      </c>
      <c r="G3760" s="8" t="s">
        <v>2771</v>
      </c>
      <c r="H3760" s="8" t="s">
        <v>5161</v>
      </c>
      <c r="I3760" s="3">
        <v>32</v>
      </c>
      <c r="J3760" s="3" t="s">
        <v>6261</v>
      </c>
      <c r="K3760" s="17" t="str">
        <f>HYPERLINK("http://ictvonline.org/taxonomyHistory.asp?taxnode_id=20174137","ICTVonline=20174137")</f>
        <v>ICTVonline=20174137</v>
      </c>
      <c r="L3760" s="3">
        <v>3759</v>
      </c>
    </row>
    <row r="3761" spans="1:12" x14ac:dyDescent="0.15">
      <c r="A3761" s="1" t="s">
        <v>908</v>
      </c>
      <c r="B3761" s="1" t="s">
        <v>833</v>
      </c>
      <c r="C3761" s="1" t="s">
        <v>6281</v>
      </c>
      <c r="D3761" s="1" t="s">
        <v>6282</v>
      </c>
      <c r="E3761" s="1" t="s">
        <v>6283</v>
      </c>
      <c r="F3761" s="3">
        <v>1</v>
      </c>
      <c r="G3761" s="8" t="s">
        <v>2771</v>
      </c>
      <c r="H3761" s="8" t="s">
        <v>5159</v>
      </c>
      <c r="I3761" s="3">
        <v>32</v>
      </c>
      <c r="J3761" s="3" t="s">
        <v>6261</v>
      </c>
      <c r="K3761" s="17" t="str">
        <f>HYPERLINK("http://ictvonline.org/taxonomyHistory.asp?taxnode_id=20175884","ICTVonline=20175884")</f>
        <v>ICTVonline=20175884</v>
      </c>
      <c r="L3761" s="3">
        <v>3760</v>
      </c>
    </row>
    <row r="3762" spans="1:12" x14ac:dyDescent="0.15">
      <c r="A3762" s="1" t="s">
        <v>908</v>
      </c>
      <c r="B3762" s="1" t="s">
        <v>1684</v>
      </c>
      <c r="D3762" s="1" t="s">
        <v>2542</v>
      </c>
      <c r="E3762" s="1" t="s">
        <v>957</v>
      </c>
      <c r="F3762" s="3">
        <v>0</v>
      </c>
      <c r="G3762" s="8" t="s">
        <v>2776</v>
      </c>
      <c r="H3762" s="8" t="s">
        <v>5161</v>
      </c>
      <c r="I3762" s="3">
        <v>28</v>
      </c>
      <c r="J3762" s="3" t="s">
        <v>6284</v>
      </c>
      <c r="K3762" s="17" t="str">
        <f>HYPERLINK("http://ictvonline.org/taxonomyHistory.asp?taxnode_id=20174141","ICTVonline=20174141")</f>
        <v>ICTVonline=20174141</v>
      </c>
      <c r="L3762" s="3">
        <v>3761</v>
      </c>
    </row>
    <row r="3763" spans="1:12" x14ac:dyDescent="0.15">
      <c r="A3763" s="1" t="s">
        <v>908</v>
      </c>
      <c r="B3763" s="1" t="s">
        <v>1684</v>
      </c>
      <c r="D3763" s="1" t="s">
        <v>2542</v>
      </c>
      <c r="E3763" s="1" t="s">
        <v>2543</v>
      </c>
      <c r="F3763" s="3">
        <v>0</v>
      </c>
      <c r="G3763" s="8" t="s">
        <v>2776</v>
      </c>
      <c r="H3763" s="8" t="s">
        <v>5159</v>
      </c>
      <c r="I3763" s="3">
        <v>28</v>
      </c>
      <c r="J3763" s="3" t="s">
        <v>6284</v>
      </c>
      <c r="K3763" s="17" t="str">
        <f>HYPERLINK("http://ictvonline.org/taxonomyHistory.asp?taxnode_id=20174142","ICTVonline=20174142")</f>
        <v>ICTVonline=20174142</v>
      </c>
      <c r="L3763" s="3">
        <v>3762</v>
      </c>
    </row>
    <row r="3764" spans="1:12" x14ac:dyDescent="0.15">
      <c r="A3764" s="1" t="s">
        <v>908</v>
      </c>
      <c r="B3764" s="1" t="s">
        <v>1684</v>
      </c>
      <c r="D3764" s="1" t="s">
        <v>2542</v>
      </c>
      <c r="E3764" s="1" t="s">
        <v>2544</v>
      </c>
      <c r="F3764" s="3">
        <v>0</v>
      </c>
      <c r="G3764" s="8" t="s">
        <v>2776</v>
      </c>
      <c r="H3764" s="8" t="s">
        <v>5159</v>
      </c>
      <c r="I3764" s="3">
        <v>28</v>
      </c>
      <c r="J3764" s="3" t="s">
        <v>6284</v>
      </c>
      <c r="K3764" s="17" t="str">
        <f>HYPERLINK("http://ictvonline.org/taxonomyHistory.asp?taxnode_id=20174143","ICTVonline=20174143")</f>
        <v>ICTVonline=20174143</v>
      </c>
      <c r="L3764" s="3">
        <v>3763</v>
      </c>
    </row>
    <row r="3765" spans="1:12" x14ac:dyDescent="0.15">
      <c r="A3765" s="1" t="s">
        <v>908</v>
      </c>
      <c r="B3765" s="1" t="s">
        <v>1684</v>
      </c>
      <c r="D3765" s="1" t="s">
        <v>2542</v>
      </c>
      <c r="E3765" s="1" t="s">
        <v>2545</v>
      </c>
      <c r="F3765" s="3">
        <v>0</v>
      </c>
      <c r="G3765" s="8" t="s">
        <v>2776</v>
      </c>
      <c r="H3765" s="8" t="s">
        <v>5159</v>
      </c>
      <c r="I3765" s="3">
        <v>28</v>
      </c>
      <c r="J3765" s="3" t="s">
        <v>6284</v>
      </c>
      <c r="K3765" s="17" t="str">
        <f>HYPERLINK("http://ictvonline.org/taxonomyHistory.asp?taxnode_id=20174144","ICTVonline=20174144")</f>
        <v>ICTVonline=20174144</v>
      </c>
      <c r="L3765" s="3">
        <v>3764</v>
      </c>
    </row>
    <row r="3766" spans="1:12" x14ac:dyDescent="0.15">
      <c r="A3766" s="1" t="s">
        <v>908</v>
      </c>
      <c r="B3766" s="1" t="s">
        <v>1684</v>
      </c>
      <c r="D3766" s="1" t="s">
        <v>2542</v>
      </c>
      <c r="E3766" s="1" t="s">
        <v>2546</v>
      </c>
      <c r="F3766" s="3">
        <v>0</v>
      </c>
      <c r="G3766" s="8" t="s">
        <v>2776</v>
      </c>
      <c r="H3766" s="8" t="s">
        <v>5159</v>
      </c>
      <c r="I3766" s="3">
        <v>28</v>
      </c>
      <c r="J3766" s="3" t="s">
        <v>6284</v>
      </c>
      <c r="K3766" s="17" t="str">
        <f>HYPERLINK("http://ictvonline.org/taxonomyHistory.asp?taxnode_id=20174145","ICTVonline=20174145")</f>
        <v>ICTVonline=20174145</v>
      </c>
      <c r="L3766" s="3">
        <v>3765</v>
      </c>
    </row>
    <row r="3767" spans="1:12" x14ac:dyDescent="0.15">
      <c r="A3767" s="1" t="s">
        <v>908</v>
      </c>
      <c r="B3767" s="1" t="s">
        <v>1684</v>
      </c>
      <c r="D3767" s="1" t="s">
        <v>2542</v>
      </c>
      <c r="E3767" s="1" t="s">
        <v>2713</v>
      </c>
      <c r="F3767" s="3">
        <v>0</v>
      </c>
      <c r="G3767" s="8" t="s">
        <v>2776</v>
      </c>
      <c r="H3767" s="8" t="s">
        <v>5160</v>
      </c>
      <c r="I3767" s="3">
        <v>28</v>
      </c>
      <c r="J3767" s="3" t="s">
        <v>6284</v>
      </c>
      <c r="K3767" s="17" t="str">
        <f>HYPERLINK("http://ictvonline.org/taxonomyHistory.asp?taxnode_id=20174146","ICTVonline=20174146")</f>
        <v>ICTVonline=20174146</v>
      </c>
      <c r="L3767" s="3">
        <v>3766</v>
      </c>
    </row>
    <row r="3768" spans="1:12" x14ac:dyDescent="0.15">
      <c r="A3768" s="1" t="s">
        <v>908</v>
      </c>
      <c r="B3768" s="1" t="s">
        <v>1684</v>
      </c>
      <c r="D3768" s="1" t="s">
        <v>2542</v>
      </c>
      <c r="E3768" s="1" t="s">
        <v>2714</v>
      </c>
      <c r="F3768" s="3">
        <v>0</v>
      </c>
      <c r="G3768" s="8" t="s">
        <v>2776</v>
      </c>
      <c r="H3768" s="8" t="s">
        <v>5159</v>
      </c>
      <c r="I3768" s="3">
        <v>28</v>
      </c>
      <c r="J3768" s="3" t="s">
        <v>6284</v>
      </c>
      <c r="K3768" s="17" t="str">
        <f>HYPERLINK("http://ictvonline.org/taxonomyHistory.asp?taxnode_id=20174147","ICTVonline=20174147")</f>
        <v>ICTVonline=20174147</v>
      </c>
      <c r="L3768" s="3">
        <v>3767</v>
      </c>
    </row>
    <row r="3769" spans="1:12" x14ac:dyDescent="0.15">
      <c r="A3769" s="1" t="s">
        <v>908</v>
      </c>
      <c r="B3769" s="1" t="s">
        <v>1684</v>
      </c>
      <c r="D3769" s="1" t="s">
        <v>2542</v>
      </c>
      <c r="E3769" s="1" t="s">
        <v>2715</v>
      </c>
      <c r="F3769" s="3">
        <v>0</v>
      </c>
      <c r="G3769" s="8" t="s">
        <v>2776</v>
      </c>
      <c r="H3769" s="8" t="s">
        <v>5159</v>
      </c>
      <c r="I3769" s="3">
        <v>28</v>
      </c>
      <c r="J3769" s="3" t="s">
        <v>6284</v>
      </c>
      <c r="K3769" s="17" t="str">
        <f>HYPERLINK("http://ictvonline.org/taxonomyHistory.asp?taxnode_id=20174148","ICTVonline=20174148")</f>
        <v>ICTVonline=20174148</v>
      </c>
      <c r="L3769" s="3">
        <v>3768</v>
      </c>
    </row>
    <row r="3770" spans="1:12" x14ac:dyDescent="0.15">
      <c r="A3770" s="1" t="s">
        <v>908</v>
      </c>
      <c r="B3770" s="1" t="s">
        <v>1684</v>
      </c>
      <c r="D3770" s="1" t="s">
        <v>2542</v>
      </c>
      <c r="E3770" s="1" t="s">
        <v>4057</v>
      </c>
      <c r="F3770" s="3">
        <v>0</v>
      </c>
      <c r="G3770" s="8" t="s">
        <v>2776</v>
      </c>
      <c r="H3770" s="8" t="s">
        <v>5159</v>
      </c>
      <c r="I3770" s="3">
        <v>30</v>
      </c>
      <c r="J3770" s="3" t="s">
        <v>6285</v>
      </c>
      <c r="K3770" s="17" t="str">
        <f>HYPERLINK("http://ictvonline.org/taxonomyHistory.asp?taxnode_id=20174149","ICTVonline=20174149")</f>
        <v>ICTVonline=20174149</v>
      </c>
      <c r="L3770" s="3">
        <v>3769</v>
      </c>
    </row>
    <row r="3771" spans="1:12" x14ac:dyDescent="0.15">
      <c r="A3771" s="1" t="s">
        <v>908</v>
      </c>
      <c r="B3771" s="1" t="s">
        <v>1684</v>
      </c>
      <c r="D3771" s="1" t="s">
        <v>2542</v>
      </c>
      <c r="E3771" s="1" t="s">
        <v>4058</v>
      </c>
      <c r="F3771" s="3">
        <v>0</v>
      </c>
      <c r="G3771" s="8" t="s">
        <v>2776</v>
      </c>
      <c r="H3771" s="8" t="s">
        <v>5159</v>
      </c>
      <c r="I3771" s="3">
        <v>30</v>
      </c>
      <c r="J3771" s="3" t="s">
        <v>6285</v>
      </c>
      <c r="K3771" s="17" t="str">
        <f>HYPERLINK("http://ictvonline.org/taxonomyHistory.asp?taxnode_id=20174150","ICTVonline=20174150")</f>
        <v>ICTVonline=20174150</v>
      </c>
      <c r="L3771" s="3">
        <v>3770</v>
      </c>
    </row>
    <row r="3772" spans="1:12" x14ac:dyDescent="0.15">
      <c r="A3772" s="1" t="s">
        <v>908</v>
      </c>
      <c r="B3772" s="1" t="s">
        <v>1684</v>
      </c>
      <c r="D3772" s="1" t="s">
        <v>2542</v>
      </c>
      <c r="E3772" s="1" t="s">
        <v>4059</v>
      </c>
      <c r="F3772" s="3">
        <v>0</v>
      </c>
      <c r="G3772" s="8" t="s">
        <v>2776</v>
      </c>
      <c r="H3772" s="8" t="s">
        <v>5159</v>
      </c>
      <c r="I3772" s="3">
        <v>30</v>
      </c>
      <c r="J3772" s="3" t="s">
        <v>6285</v>
      </c>
      <c r="K3772" s="17" t="str">
        <f>HYPERLINK("http://ictvonline.org/taxonomyHistory.asp?taxnode_id=20174151","ICTVonline=20174151")</f>
        <v>ICTVonline=20174151</v>
      </c>
      <c r="L3772" s="3">
        <v>3771</v>
      </c>
    </row>
    <row r="3773" spans="1:12" x14ac:dyDescent="0.15">
      <c r="A3773" s="1" t="s">
        <v>908</v>
      </c>
      <c r="B3773" s="1" t="s">
        <v>1684</v>
      </c>
      <c r="D3773" s="1" t="s">
        <v>2542</v>
      </c>
      <c r="E3773" s="1" t="s">
        <v>2547</v>
      </c>
      <c r="F3773" s="3">
        <v>0</v>
      </c>
      <c r="G3773" s="8" t="s">
        <v>2776</v>
      </c>
      <c r="H3773" s="8" t="s">
        <v>5159</v>
      </c>
      <c r="I3773" s="3">
        <v>28</v>
      </c>
      <c r="J3773" s="3" t="s">
        <v>6284</v>
      </c>
      <c r="K3773" s="17" t="str">
        <f>HYPERLINK("http://ictvonline.org/taxonomyHistory.asp?taxnode_id=20174152","ICTVonline=20174152")</f>
        <v>ICTVonline=20174152</v>
      </c>
      <c r="L3773" s="3">
        <v>3772</v>
      </c>
    </row>
    <row r="3774" spans="1:12" x14ac:dyDescent="0.15">
      <c r="A3774" s="1" t="s">
        <v>908</v>
      </c>
      <c r="B3774" s="1" t="s">
        <v>1684</v>
      </c>
      <c r="D3774" s="1" t="s">
        <v>2542</v>
      </c>
      <c r="E3774" s="1" t="s">
        <v>885</v>
      </c>
      <c r="F3774" s="3">
        <v>0</v>
      </c>
      <c r="G3774" s="8" t="s">
        <v>2776</v>
      </c>
      <c r="H3774" s="8" t="s">
        <v>5161</v>
      </c>
      <c r="I3774" s="3">
        <v>28</v>
      </c>
      <c r="J3774" s="3" t="s">
        <v>6284</v>
      </c>
      <c r="K3774" s="17" t="str">
        <f>HYPERLINK("http://ictvonline.org/taxonomyHistory.asp?taxnode_id=20174153","ICTVonline=20174153")</f>
        <v>ICTVonline=20174153</v>
      </c>
      <c r="L3774" s="3">
        <v>3773</v>
      </c>
    </row>
    <row r="3775" spans="1:12" x14ac:dyDescent="0.15">
      <c r="A3775" s="1" t="s">
        <v>908</v>
      </c>
      <c r="B3775" s="1" t="s">
        <v>1684</v>
      </c>
      <c r="D3775" s="1" t="s">
        <v>2542</v>
      </c>
      <c r="E3775" s="1" t="s">
        <v>886</v>
      </c>
      <c r="F3775" s="3">
        <v>1</v>
      </c>
      <c r="G3775" s="8" t="s">
        <v>2776</v>
      </c>
      <c r="H3775" s="8" t="s">
        <v>5161</v>
      </c>
      <c r="I3775" s="3">
        <v>28</v>
      </c>
      <c r="J3775" s="3" t="s">
        <v>6284</v>
      </c>
      <c r="K3775" s="17" t="str">
        <f>HYPERLINK("http://ictvonline.org/taxonomyHistory.asp?taxnode_id=20174154","ICTVonline=20174154")</f>
        <v>ICTVonline=20174154</v>
      </c>
      <c r="L3775" s="3">
        <v>3774</v>
      </c>
    </row>
    <row r="3776" spans="1:12" x14ac:dyDescent="0.15">
      <c r="A3776" s="1" t="s">
        <v>908</v>
      </c>
      <c r="B3776" s="1" t="s">
        <v>1684</v>
      </c>
      <c r="D3776" s="1" t="s">
        <v>2548</v>
      </c>
      <c r="E3776" s="1" t="s">
        <v>1618</v>
      </c>
      <c r="F3776" s="3">
        <v>1</v>
      </c>
      <c r="G3776" s="8" t="s">
        <v>2776</v>
      </c>
      <c r="H3776" s="8" t="s">
        <v>5161</v>
      </c>
      <c r="I3776" s="3">
        <v>28</v>
      </c>
      <c r="J3776" s="3" t="s">
        <v>6284</v>
      </c>
      <c r="K3776" s="17" t="str">
        <f>HYPERLINK("http://ictvonline.org/taxonomyHistory.asp?taxnode_id=20174156","ICTVonline=20174156")</f>
        <v>ICTVonline=20174156</v>
      </c>
      <c r="L3776" s="3">
        <v>3775</v>
      </c>
    </row>
    <row r="3777" spans="1:12" x14ac:dyDescent="0.15">
      <c r="A3777" s="1" t="s">
        <v>908</v>
      </c>
      <c r="B3777" s="1" t="s">
        <v>1684</v>
      </c>
      <c r="D3777" s="1" t="s">
        <v>2548</v>
      </c>
      <c r="E3777" s="1" t="s">
        <v>2549</v>
      </c>
      <c r="F3777" s="3">
        <v>0</v>
      </c>
      <c r="G3777" s="8" t="s">
        <v>2776</v>
      </c>
      <c r="H3777" s="8" t="s">
        <v>5159</v>
      </c>
      <c r="I3777" s="3">
        <v>28</v>
      </c>
      <c r="J3777" s="3" t="s">
        <v>6284</v>
      </c>
      <c r="K3777" s="17" t="str">
        <f>HYPERLINK("http://ictvonline.org/taxonomyHistory.asp?taxnode_id=20174157","ICTVonline=20174157")</f>
        <v>ICTVonline=20174157</v>
      </c>
      <c r="L3777" s="3">
        <v>3776</v>
      </c>
    </row>
    <row r="3778" spans="1:12" x14ac:dyDescent="0.15">
      <c r="A3778" s="1" t="s">
        <v>908</v>
      </c>
      <c r="B3778" s="1" t="s">
        <v>1684</v>
      </c>
      <c r="D3778" s="1" t="s">
        <v>2548</v>
      </c>
      <c r="E3778" s="1" t="s">
        <v>784</v>
      </c>
      <c r="F3778" s="3">
        <v>0</v>
      </c>
      <c r="G3778" s="8" t="s">
        <v>2776</v>
      </c>
      <c r="H3778" s="8" t="s">
        <v>5161</v>
      </c>
      <c r="I3778" s="3">
        <v>28</v>
      </c>
      <c r="J3778" s="3" t="s">
        <v>6284</v>
      </c>
      <c r="K3778" s="17" t="str">
        <f>HYPERLINK("http://ictvonline.org/taxonomyHistory.asp?taxnode_id=20174158","ICTVonline=20174158")</f>
        <v>ICTVonline=20174158</v>
      </c>
      <c r="L3778" s="3">
        <v>3777</v>
      </c>
    </row>
    <row r="3779" spans="1:12" x14ac:dyDescent="0.15">
      <c r="A3779" s="1" t="s">
        <v>908</v>
      </c>
      <c r="B3779" s="1" t="s">
        <v>1684</v>
      </c>
      <c r="D3779" s="1" t="s">
        <v>2548</v>
      </c>
      <c r="E3779" s="1" t="s">
        <v>2550</v>
      </c>
      <c r="F3779" s="3">
        <v>0</v>
      </c>
      <c r="G3779" s="8" t="s">
        <v>2776</v>
      </c>
      <c r="H3779" s="8" t="s">
        <v>5159</v>
      </c>
      <c r="I3779" s="3">
        <v>28</v>
      </c>
      <c r="J3779" s="3" t="s">
        <v>6284</v>
      </c>
      <c r="K3779" s="17" t="str">
        <f>HYPERLINK("http://ictvonline.org/taxonomyHistory.asp?taxnode_id=20174159","ICTVonline=20174159")</f>
        <v>ICTVonline=20174159</v>
      </c>
      <c r="L3779" s="3">
        <v>3778</v>
      </c>
    </row>
    <row r="3780" spans="1:12" x14ac:dyDescent="0.15">
      <c r="A3780" s="1" t="s">
        <v>908</v>
      </c>
      <c r="B3780" s="1" t="s">
        <v>1684</v>
      </c>
      <c r="D3780" s="1" t="s">
        <v>2548</v>
      </c>
      <c r="E3780" s="1" t="s">
        <v>2551</v>
      </c>
      <c r="F3780" s="3">
        <v>0</v>
      </c>
      <c r="G3780" s="8" t="s">
        <v>2776</v>
      </c>
      <c r="H3780" s="8" t="s">
        <v>5159</v>
      </c>
      <c r="I3780" s="3">
        <v>28</v>
      </c>
      <c r="J3780" s="3" t="s">
        <v>6284</v>
      </c>
      <c r="K3780" s="17" t="str">
        <f>HYPERLINK("http://ictvonline.org/taxonomyHistory.asp?taxnode_id=20174160","ICTVonline=20174160")</f>
        <v>ICTVonline=20174160</v>
      </c>
      <c r="L3780" s="3">
        <v>3779</v>
      </c>
    </row>
    <row r="3781" spans="1:12" x14ac:dyDescent="0.15">
      <c r="A3781" s="1" t="s">
        <v>908</v>
      </c>
      <c r="B3781" s="1" t="s">
        <v>1684</v>
      </c>
      <c r="D3781" s="1" t="s">
        <v>2548</v>
      </c>
      <c r="E3781" s="1" t="s">
        <v>1935</v>
      </c>
      <c r="F3781" s="3">
        <v>0</v>
      </c>
      <c r="G3781" s="8" t="s">
        <v>2776</v>
      </c>
      <c r="H3781" s="8" t="s">
        <v>5161</v>
      </c>
      <c r="I3781" s="3">
        <v>28</v>
      </c>
      <c r="J3781" s="3" t="s">
        <v>6284</v>
      </c>
      <c r="K3781" s="17" t="str">
        <f>HYPERLINK("http://ictvonline.org/taxonomyHistory.asp?taxnode_id=20174161","ICTVonline=20174161")</f>
        <v>ICTVonline=20174161</v>
      </c>
      <c r="L3781" s="3">
        <v>3780</v>
      </c>
    </row>
    <row r="3782" spans="1:12" x14ac:dyDescent="0.15">
      <c r="A3782" s="1" t="s">
        <v>908</v>
      </c>
      <c r="B3782" s="1" t="s">
        <v>1684</v>
      </c>
      <c r="D3782" s="1" t="s">
        <v>2548</v>
      </c>
      <c r="E3782" s="1" t="s">
        <v>2716</v>
      </c>
      <c r="F3782" s="3">
        <v>0</v>
      </c>
      <c r="G3782" s="8" t="s">
        <v>2776</v>
      </c>
      <c r="H3782" s="8" t="s">
        <v>5159</v>
      </c>
      <c r="I3782" s="3">
        <v>28</v>
      </c>
      <c r="J3782" s="3" t="s">
        <v>6284</v>
      </c>
      <c r="K3782" s="17" t="str">
        <f>HYPERLINK("http://ictvonline.org/taxonomyHistory.asp?taxnode_id=20174162","ICTVonline=20174162")</f>
        <v>ICTVonline=20174162</v>
      </c>
      <c r="L3782" s="3">
        <v>3781</v>
      </c>
    </row>
    <row r="3783" spans="1:12" x14ac:dyDescent="0.15">
      <c r="A3783" s="1" t="s">
        <v>908</v>
      </c>
      <c r="B3783" s="1" t="s">
        <v>1684</v>
      </c>
      <c r="D3783" s="1" t="s">
        <v>2548</v>
      </c>
      <c r="E3783" s="1" t="s">
        <v>4060</v>
      </c>
      <c r="F3783" s="3">
        <v>0</v>
      </c>
      <c r="G3783" s="8" t="s">
        <v>2776</v>
      </c>
      <c r="H3783" s="8" t="s">
        <v>5159</v>
      </c>
      <c r="I3783" s="3">
        <v>30</v>
      </c>
      <c r="J3783" s="3" t="s">
        <v>6285</v>
      </c>
      <c r="K3783" s="17" t="str">
        <f>HYPERLINK("http://ictvonline.org/taxonomyHistory.asp?taxnode_id=20174163","ICTVonline=20174163")</f>
        <v>ICTVonline=20174163</v>
      </c>
      <c r="L3783" s="3">
        <v>3782</v>
      </c>
    </row>
    <row r="3784" spans="1:12" x14ac:dyDescent="0.15">
      <c r="A3784" s="1" t="s">
        <v>908</v>
      </c>
      <c r="B3784" s="1" t="s">
        <v>1684</v>
      </c>
      <c r="D3784" s="1" t="s">
        <v>2548</v>
      </c>
      <c r="E3784" s="1" t="s">
        <v>2717</v>
      </c>
      <c r="F3784" s="3">
        <v>0</v>
      </c>
      <c r="G3784" s="8" t="s">
        <v>2776</v>
      </c>
      <c r="H3784" s="8" t="s">
        <v>5159</v>
      </c>
      <c r="I3784" s="3">
        <v>28</v>
      </c>
      <c r="J3784" s="3" t="s">
        <v>6284</v>
      </c>
      <c r="K3784" s="17" t="str">
        <f>HYPERLINK("http://ictvonline.org/taxonomyHistory.asp?taxnode_id=20174164","ICTVonline=20174164")</f>
        <v>ICTVonline=20174164</v>
      </c>
      <c r="L3784" s="3">
        <v>3783</v>
      </c>
    </row>
    <row r="3785" spans="1:12" x14ac:dyDescent="0.15">
      <c r="A3785" s="1" t="s">
        <v>908</v>
      </c>
      <c r="B3785" s="1" t="s">
        <v>1684</v>
      </c>
      <c r="D3785" s="1" t="s">
        <v>2548</v>
      </c>
      <c r="E3785" s="1" t="s">
        <v>2718</v>
      </c>
      <c r="F3785" s="3">
        <v>0</v>
      </c>
      <c r="G3785" s="8" t="s">
        <v>2776</v>
      </c>
      <c r="H3785" s="8" t="s">
        <v>5160</v>
      </c>
      <c r="I3785" s="3">
        <v>28</v>
      </c>
      <c r="J3785" s="3" t="s">
        <v>6284</v>
      </c>
      <c r="K3785" s="17" t="str">
        <f>HYPERLINK("http://ictvonline.org/taxonomyHistory.asp?taxnode_id=20174165","ICTVonline=20174165")</f>
        <v>ICTVonline=20174165</v>
      </c>
      <c r="L3785" s="3">
        <v>3784</v>
      </c>
    </row>
    <row r="3786" spans="1:12" x14ac:dyDescent="0.15">
      <c r="A3786" s="1" t="s">
        <v>908</v>
      </c>
      <c r="B3786" s="1" t="s">
        <v>1684</v>
      </c>
      <c r="D3786" s="1" t="s">
        <v>2548</v>
      </c>
      <c r="E3786" s="1" t="s">
        <v>617</v>
      </c>
      <c r="F3786" s="3">
        <v>0</v>
      </c>
      <c r="G3786" s="8" t="s">
        <v>2776</v>
      </c>
      <c r="H3786" s="8" t="s">
        <v>5161</v>
      </c>
      <c r="I3786" s="3">
        <v>28</v>
      </c>
      <c r="J3786" s="3" t="s">
        <v>6284</v>
      </c>
      <c r="K3786" s="17" t="str">
        <f>HYPERLINK("http://ictvonline.org/taxonomyHistory.asp?taxnode_id=20174166","ICTVonline=20174166")</f>
        <v>ICTVonline=20174166</v>
      </c>
      <c r="L3786" s="3">
        <v>3785</v>
      </c>
    </row>
    <row r="3787" spans="1:12" x14ac:dyDescent="0.15">
      <c r="A3787" s="1" t="s">
        <v>908</v>
      </c>
      <c r="B3787" s="1" t="s">
        <v>1684</v>
      </c>
      <c r="D3787" s="1" t="s">
        <v>2548</v>
      </c>
      <c r="E3787" s="1" t="s">
        <v>1259</v>
      </c>
      <c r="F3787" s="3">
        <v>0</v>
      </c>
      <c r="G3787" s="8" t="s">
        <v>2776</v>
      </c>
      <c r="H3787" s="8" t="s">
        <v>5161</v>
      </c>
      <c r="I3787" s="3">
        <v>28</v>
      </c>
      <c r="J3787" s="3" t="s">
        <v>6284</v>
      </c>
      <c r="K3787" s="17" t="str">
        <f>HYPERLINK("http://ictvonline.org/taxonomyHistory.asp?taxnode_id=20174167","ICTVonline=20174167")</f>
        <v>ICTVonline=20174167</v>
      </c>
      <c r="L3787" s="3">
        <v>3786</v>
      </c>
    </row>
    <row r="3788" spans="1:12" x14ac:dyDescent="0.15">
      <c r="A3788" s="1" t="s">
        <v>908</v>
      </c>
      <c r="B3788" s="1" t="s">
        <v>1684</v>
      </c>
      <c r="D3788" s="1" t="s">
        <v>2548</v>
      </c>
      <c r="E3788" s="1" t="s">
        <v>2552</v>
      </c>
      <c r="F3788" s="3">
        <v>0</v>
      </c>
      <c r="G3788" s="8" t="s">
        <v>2776</v>
      </c>
      <c r="H3788" s="8" t="s">
        <v>5159</v>
      </c>
      <c r="I3788" s="3">
        <v>28</v>
      </c>
      <c r="J3788" s="3" t="s">
        <v>6284</v>
      </c>
      <c r="K3788" s="17" t="str">
        <f>HYPERLINK("http://ictvonline.org/taxonomyHistory.asp?taxnode_id=20174168","ICTVonline=20174168")</f>
        <v>ICTVonline=20174168</v>
      </c>
      <c r="L3788" s="3">
        <v>3787</v>
      </c>
    </row>
    <row r="3789" spans="1:12" x14ac:dyDescent="0.15">
      <c r="A3789" s="1" t="s">
        <v>908</v>
      </c>
      <c r="B3789" s="1" t="s">
        <v>1684</v>
      </c>
      <c r="D3789" s="1" t="s">
        <v>2548</v>
      </c>
      <c r="E3789" s="1" t="s">
        <v>618</v>
      </c>
      <c r="F3789" s="3">
        <v>0</v>
      </c>
      <c r="G3789" s="8" t="s">
        <v>2776</v>
      </c>
      <c r="H3789" s="8" t="s">
        <v>5161</v>
      </c>
      <c r="I3789" s="3">
        <v>28</v>
      </c>
      <c r="J3789" s="3" t="s">
        <v>6284</v>
      </c>
      <c r="K3789" s="17" t="str">
        <f>HYPERLINK("http://ictvonline.org/taxonomyHistory.asp?taxnode_id=20174169","ICTVonline=20174169")</f>
        <v>ICTVonline=20174169</v>
      </c>
      <c r="L3789" s="3">
        <v>3788</v>
      </c>
    </row>
    <row r="3790" spans="1:12" x14ac:dyDescent="0.15">
      <c r="A3790" s="1" t="s">
        <v>908</v>
      </c>
      <c r="B3790" s="1" t="s">
        <v>1684</v>
      </c>
      <c r="D3790" s="1" t="s">
        <v>2548</v>
      </c>
      <c r="E3790" s="1" t="s">
        <v>895</v>
      </c>
      <c r="F3790" s="3">
        <v>0</v>
      </c>
      <c r="G3790" s="8" t="s">
        <v>2776</v>
      </c>
      <c r="H3790" s="8" t="s">
        <v>5161</v>
      </c>
      <c r="I3790" s="3">
        <v>28</v>
      </c>
      <c r="J3790" s="3" t="s">
        <v>6284</v>
      </c>
      <c r="K3790" s="17" t="str">
        <f>HYPERLINK("http://ictvonline.org/taxonomyHistory.asp?taxnode_id=20174170","ICTVonline=20174170")</f>
        <v>ICTVonline=20174170</v>
      </c>
      <c r="L3790" s="3">
        <v>3789</v>
      </c>
    </row>
    <row r="3791" spans="1:12" x14ac:dyDescent="0.15">
      <c r="A3791" s="1" t="s">
        <v>908</v>
      </c>
      <c r="B3791" s="1" t="s">
        <v>1684</v>
      </c>
      <c r="D3791" s="1" t="s">
        <v>2548</v>
      </c>
      <c r="E3791" s="1" t="s">
        <v>1530</v>
      </c>
      <c r="F3791" s="3">
        <v>0</v>
      </c>
      <c r="G3791" s="8" t="s">
        <v>2776</v>
      </c>
      <c r="H3791" s="8" t="s">
        <v>5161</v>
      </c>
      <c r="I3791" s="3">
        <v>28</v>
      </c>
      <c r="J3791" s="3" t="s">
        <v>6284</v>
      </c>
      <c r="K3791" s="17" t="str">
        <f>HYPERLINK("http://ictvonline.org/taxonomyHistory.asp?taxnode_id=20174171","ICTVonline=20174171")</f>
        <v>ICTVonline=20174171</v>
      </c>
      <c r="L3791" s="3">
        <v>3790</v>
      </c>
    </row>
    <row r="3792" spans="1:12" x14ac:dyDescent="0.15">
      <c r="A3792" s="1" t="s">
        <v>908</v>
      </c>
      <c r="B3792" s="1" t="s">
        <v>1684</v>
      </c>
      <c r="D3792" s="1" t="s">
        <v>2548</v>
      </c>
      <c r="E3792" s="1" t="s">
        <v>619</v>
      </c>
      <c r="F3792" s="3">
        <v>0</v>
      </c>
      <c r="G3792" s="8" t="s">
        <v>2776</v>
      </c>
      <c r="H3792" s="8" t="s">
        <v>5161</v>
      </c>
      <c r="I3792" s="3">
        <v>28</v>
      </c>
      <c r="J3792" s="3" t="s">
        <v>6284</v>
      </c>
      <c r="K3792" s="17" t="str">
        <f>HYPERLINK("http://ictvonline.org/taxonomyHistory.asp?taxnode_id=20174172","ICTVonline=20174172")</f>
        <v>ICTVonline=20174172</v>
      </c>
      <c r="L3792" s="3">
        <v>3791</v>
      </c>
    </row>
    <row r="3793" spans="1:12" x14ac:dyDescent="0.15">
      <c r="A3793" s="1" t="s">
        <v>908</v>
      </c>
      <c r="B3793" s="1" t="s">
        <v>1684</v>
      </c>
      <c r="D3793" s="1" t="s">
        <v>1260</v>
      </c>
      <c r="E3793" s="1" t="s">
        <v>294</v>
      </c>
      <c r="F3793" s="3">
        <v>1</v>
      </c>
      <c r="G3793" s="8" t="s">
        <v>2776</v>
      </c>
      <c r="H3793" s="8" t="s">
        <v>5164</v>
      </c>
      <c r="I3793" s="3">
        <v>25</v>
      </c>
      <c r="J3793" s="3" t="s">
        <v>6286</v>
      </c>
      <c r="K3793" s="17" t="str">
        <f>HYPERLINK("http://ictvonline.org/taxonomyHistory.asp?taxnode_id=20174174","ICTVonline=20174174")</f>
        <v>ICTVonline=20174174</v>
      </c>
      <c r="L3793" s="3">
        <v>3792</v>
      </c>
    </row>
    <row r="3794" spans="1:12" x14ac:dyDescent="0.15">
      <c r="A3794" s="1" t="s">
        <v>908</v>
      </c>
      <c r="B3794" s="1" t="s">
        <v>1684</v>
      </c>
      <c r="D3794" s="1" t="s">
        <v>2553</v>
      </c>
      <c r="E3794" s="1" t="s">
        <v>958</v>
      </c>
      <c r="F3794" s="3">
        <v>0</v>
      </c>
      <c r="G3794" s="8" t="s">
        <v>2776</v>
      </c>
      <c r="H3794" s="8" t="s">
        <v>5161</v>
      </c>
      <c r="I3794" s="3">
        <v>28</v>
      </c>
      <c r="J3794" s="3" t="s">
        <v>6284</v>
      </c>
      <c r="K3794" s="17" t="str">
        <f>HYPERLINK("http://ictvonline.org/taxonomyHistory.asp?taxnode_id=20174176","ICTVonline=20174176")</f>
        <v>ICTVonline=20174176</v>
      </c>
      <c r="L3794" s="3">
        <v>3793</v>
      </c>
    </row>
    <row r="3795" spans="1:12" x14ac:dyDescent="0.15">
      <c r="A3795" s="1" t="s">
        <v>908</v>
      </c>
      <c r="B3795" s="1" t="s">
        <v>1684</v>
      </c>
      <c r="D3795" s="1" t="s">
        <v>2553</v>
      </c>
      <c r="E3795" s="1" t="s">
        <v>959</v>
      </c>
      <c r="F3795" s="3">
        <v>0</v>
      </c>
      <c r="G3795" s="8" t="s">
        <v>2776</v>
      </c>
      <c r="H3795" s="8" t="s">
        <v>5161</v>
      </c>
      <c r="I3795" s="3">
        <v>28</v>
      </c>
      <c r="J3795" s="3" t="s">
        <v>6284</v>
      </c>
      <c r="K3795" s="17" t="str">
        <f>HYPERLINK("http://ictvonline.org/taxonomyHistory.asp?taxnode_id=20174177","ICTVonline=20174177")</f>
        <v>ICTVonline=20174177</v>
      </c>
      <c r="L3795" s="3">
        <v>3794</v>
      </c>
    </row>
    <row r="3796" spans="1:12" x14ac:dyDescent="0.15">
      <c r="A3796" s="1" t="s">
        <v>908</v>
      </c>
      <c r="B3796" s="1" t="s">
        <v>1684</v>
      </c>
      <c r="D3796" s="1" t="s">
        <v>2553</v>
      </c>
      <c r="E3796" s="1" t="s">
        <v>2554</v>
      </c>
      <c r="F3796" s="3">
        <v>0</v>
      </c>
      <c r="G3796" s="8" t="s">
        <v>2776</v>
      </c>
      <c r="H3796" s="8" t="s">
        <v>5159</v>
      </c>
      <c r="I3796" s="3">
        <v>28</v>
      </c>
      <c r="J3796" s="3" t="s">
        <v>6284</v>
      </c>
      <c r="K3796" s="17" t="str">
        <f>HYPERLINK("http://ictvonline.org/taxonomyHistory.asp?taxnode_id=20174178","ICTVonline=20174178")</f>
        <v>ICTVonline=20174178</v>
      </c>
      <c r="L3796" s="3">
        <v>3795</v>
      </c>
    </row>
    <row r="3797" spans="1:12" x14ac:dyDescent="0.15">
      <c r="A3797" s="1" t="s">
        <v>908</v>
      </c>
      <c r="B3797" s="1" t="s">
        <v>1684</v>
      </c>
      <c r="D3797" s="1" t="s">
        <v>2553</v>
      </c>
      <c r="E3797" s="1" t="s">
        <v>2555</v>
      </c>
      <c r="F3797" s="3">
        <v>1</v>
      </c>
      <c r="G3797" s="8" t="s">
        <v>2776</v>
      </c>
      <c r="H3797" s="8" t="s">
        <v>5159</v>
      </c>
      <c r="I3797" s="3">
        <v>28</v>
      </c>
      <c r="J3797" s="3" t="s">
        <v>6284</v>
      </c>
      <c r="K3797" s="17" t="str">
        <f>HYPERLINK("http://ictvonline.org/taxonomyHistory.asp?taxnode_id=20174179","ICTVonline=20174179")</f>
        <v>ICTVonline=20174179</v>
      </c>
      <c r="L3797" s="3">
        <v>3796</v>
      </c>
    </row>
    <row r="3798" spans="1:12" x14ac:dyDescent="0.15">
      <c r="A3798" s="1" t="s">
        <v>908</v>
      </c>
      <c r="B3798" s="1" t="s">
        <v>1684</v>
      </c>
      <c r="D3798" s="1" t="s">
        <v>2553</v>
      </c>
      <c r="E3798" s="1" t="s">
        <v>2556</v>
      </c>
      <c r="F3798" s="3">
        <v>0</v>
      </c>
      <c r="G3798" s="8" t="s">
        <v>2776</v>
      </c>
      <c r="H3798" s="8" t="s">
        <v>5159</v>
      </c>
      <c r="I3798" s="3">
        <v>28</v>
      </c>
      <c r="J3798" s="3" t="s">
        <v>6284</v>
      </c>
      <c r="K3798" s="17" t="str">
        <f>HYPERLINK("http://ictvonline.org/taxonomyHistory.asp?taxnode_id=20174180","ICTVonline=20174180")</f>
        <v>ICTVonline=20174180</v>
      </c>
      <c r="L3798" s="3">
        <v>3797</v>
      </c>
    </row>
    <row r="3799" spans="1:12" x14ac:dyDescent="0.15">
      <c r="A3799" s="1" t="s">
        <v>908</v>
      </c>
      <c r="B3799" s="1" t="s">
        <v>1684</v>
      </c>
      <c r="D3799" s="1" t="s">
        <v>2557</v>
      </c>
      <c r="E3799" s="1" t="s">
        <v>621</v>
      </c>
      <c r="F3799" s="3">
        <v>0</v>
      </c>
      <c r="G3799" s="8" t="s">
        <v>2776</v>
      </c>
      <c r="H3799" s="8" t="s">
        <v>5161</v>
      </c>
      <c r="I3799" s="3">
        <v>28</v>
      </c>
      <c r="J3799" s="3" t="s">
        <v>6284</v>
      </c>
      <c r="K3799" s="17" t="str">
        <f>HYPERLINK("http://ictvonline.org/taxonomyHistory.asp?taxnode_id=20174182","ICTVonline=20174182")</f>
        <v>ICTVonline=20174182</v>
      </c>
      <c r="L3799" s="3">
        <v>3798</v>
      </c>
    </row>
    <row r="3800" spans="1:12" x14ac:dyDescent="0.15">
      <c r="A3800" s="1" t="s">
        <v>908</v>
      </c>
      <c r="B3800" s="1" t="s">
        <v>1684</v>
      </c>
      <c r="D3800" s="1" t="s">
        <v>2557</v>
      </c>
      <c r="E3800" s="1" t="s">
        <v>1619</v>
      </c>
      <c r="F3800" s="3">
        <v>0</v>
      </c>
      <c r="G3800" s="8" t="s">
        <v>2776</v>
      </c>
      <c r="H3800" s="8" t="s">
        <v>5161</v>
      </c>
      <c r="I3800" s="3">
        <v>28</v>
      </c>
      <c r="J3800" s="3" t="s">
        <v>6284</v>
      </c>
      <c r="K3800" s="17" t="str">
        <f>HYPERLINK("http://ictvonline.org/taxonomyHistory.asp?taxnode_id=20174183","ICTVonline=20174183")</f>
        <v>ICTVonline=20174183</v>
      </c>
      <c r="L3800" s="3">
        <v>3799</v>
      </c>
    </row>
    <row r="3801" spans="1:12" x14ac:dyDescent="0.15">
      <c r="A3801" s="1" t="s">
        <v>908</v>
      </c>
      <c r="B3801" s="1" t="s">
        <v>1684</v>
      </c>
      <c r="D3801" s="1" t="s">
        <v>2557</v>
      </c>
      <c r="E3801" s="1" t="s">
        <v>1934</v>
      </c>
      <c r="F3801" s="3">
        <v>0</v>
      </c>
      <c r="G3801" s="8" t="s">
        <v>2776</v>
      </c>
      <c r="H3801" s="8" t="s">
        <v>5161</v>
      </c>
      <c r="I3801" s="3">
        <v>28</v>
      </c>
      <c r="J3801" s="3" t="s">
        <v>6284</v>
      </c>
      <c r="K3801" s="17" t="str">
        <f>HYPERLINK("http://ictvonline.org/taxonomyHistory.asp?taxnode_id=20174184","ICTVonline=20174184")</f>
        <v>ICTVonline=20174184</v>
      </c>
      <c r="L3801" s="3">
        <v>3800</v>
      </c>
    </row>
    <row r="3802" spans="1:12" x14ac:dyDescent="0.15">
      <c r="A3802" s="1" t="s">
        <v>908</v>
      </c>
      <c r="B3802" s="1" t="s">
        <v>1684</v>
      </c>
      <c r="D3802" s="1" t="s">
        <v>2557</v>
      </c>
      <c r="E3802" s="1" t="s">
        <v>1936</v>
      </c>
      <c r="F3802" s="3">
        <v>0</v>
      </c>
      <c r="G3802" s="8" t="s">
        <v>2776</v>
      </c>
      <c r="H3802" s="8" t="s">
        <v>5161</v>
      </c>
      <c r="I3802" s="3">
        <v>28</v>
      </c>
      <c r="J3802" s="3" t="s">
        <v>6284</v>
      </c>
      <c r="K3802" s="17" t="str">
        <f>HYPERLINK("http://ictvonline.org/taxonomyHistory.asp?taxnode_id=20174185","ICTVonline=20174185")</f>
        <v>ICTVonline=20174185</v>
      </c>
      <c r="L3802" s="3">
        <v>3801</v>
      </c>
    </row>
    <row r="3803" spans="1:12" x14ac:dyDescent="0.15">
      <c r="A3803" s="1" t="s">
        <v>908</v>
      </c>
      <c r="B3803" s="1" t="s">
        <v>1684</v>
      </c>
      <c r="D3803" s="1" t="s">
        <v>2557</v>
      </c>
      <c r="E3803" s="1" t="s">
        <v>902</v>
      </c>
      <c r="F3803" s="3">
        <v>0</v>
      </c>
      <c r="G3803" s="8" t="s">
        <v>2776</v>
      </c>
      <c r="H3803" s="8" t="s">
        <v>5161</v>
      </c>
      <c r="I3803" s="3">
        <v>28</v>
      </c>
      <c r="J3803" s="3" t="s">
        <v>6284</v>
      </c>
      <c r="K3803" s="17" t="str">
        <f>HYPERLINK("http://ictvonline.org/taxonomyHistory.asp?taxnode_id=20174186","ICTVonline=20174186")</f>
        <v>ICTVonline=20174186</v>
      </c>
      <c r="L3803" s="3">
        <v>3802</v>
      </c>
    </row>
    <row r="3804" spans="1:12" x14ac:dyDescent="0.15">
      <c r="A3804" s="1" t="s">
        <v>908</v>
      </c>
      <c r="B3804" s="1" t="s">
        <v>1684</v>
      </c>
      <c r="D3804" s="1" t="s">
        <v>2557</v>
      </c>
      <c r="E3804" s="1" t="s">
        <v>1257</v>
      </c>
      <c r="F3804" s="3">
        <v>0</v>
      </c>
      <c r="G3804" s="8" t="s">
        <v>2776</v>
      </c>
      <c r="H3804" s="8" t="s">
        <v>5161</v>
      </c>
      <c r="I3804" s="3">
        <v>28</v>
      </c>
      <c r="J3804" s="3" t="s">
        <v>6284</v>
      </c>
      <c r="K3804" s="17" t="str">
        <f>HYPERLINK("http://ictvonline.org/taxonomyHistory.asp?taxnode_id=20174187","ICTVonline=20174187")</f>
        <v>ICTVonline=20174187</v>
      </c>
      <c r="L3804" s="3">
        <v>3803</v>
      </c>
    </row>
    <row r="3805" spans="1:12" x14ac:dyDescent="0.15">
      <c r="A3805" s="1" t="s">
        <v>908</v>
      </c>
      <c r="B3805" s="1" t="s">
        <v>1684</v>
      </c>
      <c r="D3805" s="1" t="s">
        <v>2557</v>
      </c>
      <c r="E3805" s="1" t="s">
        <v>1258</v>
      </c>
      <c r="F3805" s="3">
        <v>0</v>
      </c>
      <c r="G3805" s="8" t="s">
        <v>2776</v>
      </c>
      <c r="H3805" s="8" t="s">
        <v>5161</v>
      </c>
      <c r="I3805" s="3">
        <v>28</v>
      </c>
      <c r="J3805" s="3" t="s">
        <v>6284</v>
      </c>
      <c r="K3805" s="17" t="str">
        <f>HYPERLINK("http://ictvonline.org/taxonomyHistory.asp?taxnode_id=20174188","ICTVonline=20174188")</f>
        <v>ICTVonline=20174188</v>
      </c>
      <c r="L3805" s="3">
        <v>3804</v>
      </c>
    </row>
    <row r="3806" spans="1:12" x14ac:dyDescent="0.15">
      <c r="A3806" s="1" t="s">
        <v>908</v>
      </c>
      <c r="B3806" s="1" t="s">
        <v>1684</v>
      </c>
      <c r="D3806" s="1" t="s">
        <v>2557</v>
      </c>
      <c r="E3806" s="1" t="s">
        <v>894</v>
      </c>
      <c r="F3806" s="3">
        <v>1</v>
      </c>
      <c r="G3806" s="8" t="s">
        <v>2776</v>
      </c>
      <c r="H3806" s="8" t="s">
        <v>5161</v>
      </c>
      <c r="I3806" s="3">
        <v>28</v>
      </c>
      <c r="J3806" s="3" t="s">
        <v>6284</v>
      </c>
      <c r="K3806" s="17" t="str">
        <f>HYPERLINK("http://ictvonline.org/taxonomyHistory.asp?taxnode_id=20174189","ICTVonline=20174189")</f>
        <v>ICTVonline=20174189</v>
      </c>
      <c r="L3806" s="3">
        <v>3805</v>
      </c>
    </row>
    <row r="3807" spans="1:12" x14ac:dyDescent="0.15">
      <c r="A3807" s="1" t="s">
        <v>908</v>
      </c>
      <c r="B3807" s="1" t="s">
        <v>1684</v>
      </c>
      <c r="D3807" s="1" t="s">
        <v>908</v>
      </c>
      <c r="E3807" s="1" t="s">
        <v>620</v>
      </c>
      <c r="F3807" s="3">
        <v>0</v>
      </c>
      <c r="G3807" s="8" t="s">
        <v>2776</v>
      </c>
      <c r="H3807" s="8" t="s">
        <v>5161</v>
      </c>
      <c r="I3807" s="3">
        <v>28</v>
      </c>
      <c r="J3807" s="3" t="s">
        <v>6284</v>
      </c>
      <c r="K3807" s="17" t="str">
        <f>HYPERLINK("http://ictvonline.org/taxonomyHistory.asp?taxnode_id=20174191","ICTVonline=20174191")</f>
        <v>ICTVonline=20174191</v>
      </c>
      <c r="L3807" s="3">
        <v>3806</v>
      </c>
    </row>
    <row r="3808" spans="1:12" x14ac:dyDescent="0.15">
      <c r="A3808" s="1" t="s">
        <v>908</v>
      </c>
      <c r="B3808" s="1" t="s">
        <v>1684</v>
      </c>
      <c r="D3808" s="1" t="s">
        <v>908</v>
      </c>
      <c r="E3808" s="1" t="s">
        <v>956</v>
      </c>
      <c r="F3808" s="3">
        <v>0</v>
      </c>
      <c r="G3808" s="8" t="s">
        <v>2776</v>
      </c>
      <c r="H3808" s="8" t="s">
        <v>5161</v>
      </c>
      <c r="I3808" s="3">
        <v>28</v>
      </c>
      <c r="J3808" s="3" t="s">
        <v>6284</v>
      </c>
      <c r="K3808" s="17" t="str">
        <f>HYPERLINK("http://ictvonline.org/taxonomyHistory.asp?taxnode_id=20174192","ICTVonline=20174192")</f>
        <v>ICTVonline=20174192</v>
      </c>
      <c r="L3808" s="3">
        <v>3807</v>
      </c>
    </row>
    <row r="3809" spans="1:12" x14ac:dyDescent="0.15">
      <c r="A3809" s="1" t="s">
        <v>908</v>
      </c>
      <c r="B3809" s="1" t="s">
        <v>1684</v>
      </c>
      <c r="D3809" s="1" t="s">
        <v>908</v>
      </c>
      <c r="E3809" s="1" t="s">
        <v>960</v>
      </c>
      <c r="F3809" s="3">
        <v>0</v>
      </c>
      <c r="G3809" s="8" t="s">
        <v>2776</v>
      </c>
      <c r="H3809" s="8" t="s">
        <v>5161</v>
      </c>
      <c r="I3809" s="3">
        <v>28</v>
      </c>
      <c r="J3809" s="3" t="s">
        <v>6284</v>
      </c>
      <c r="K3809" s="17" t="str">
        <f>HYPERLINK("http://ictvonline.org/taxonomyHistory.asp?taxnode_id=20174193","ICTVonline=20174193")</f>
        <v>ICTVonline=20174193</v>
      </c>
      <c r="L3809" s="3">
        <v>3808</v>
      </c>
    </row>
    <row r="3810" spans="1:12" x14ac:dyDescent="0.15">
      <c r="A3810" s="1" t="s">
        <v>908</v>
      </c>
      <c r="B3810" s="1" t="s">
        <v>1684</v>
      </c>
      <c r="D3810" s="1" t="s">
        <v>908</v>
      </c>
      <c r="E3810" s="1" t="s">
        <v>961</v>
      </c>
      <c r="F3810" s="3">
        <v>0</v>
      </c>
      <c r="G3810" s="8" t="s">
        <v>2776</v>
      </c>
      <c r="H3810" s="8" t="s">
        <v>5161</v>
      </c>
      <c r="I3810" s="3">
        <v>28</v>
      </c>
      <c r="J3810" s="3" t="s">
        <v>6284</v>
      </c>
      <c r="K3810" s="17" t="str">
        <f>HYPERLINK("http://ictvonline.org/taxonomyHistory.asp?taxnode_id=20174194","ICTVonline=20174194")</f>
        <v>ICTVonline=20174194</v>
      </c>
      <c r="L3810" s="3">
        <v>3809</v>
      </c>
    </row>
    <row r="3811" spans="1:12" x14ac:dyDescent="0.15">
      <c r="A3811" s="1" t="s">
        <v>908</v>
      </c>
      <c r="B3811" s="1" t="s">
        <v>1684</v>
      </c>
      <c r="D3811" s="1" t="s">
        <v>908</v>
      </c>
      <c r="E3811" s="1" t="s">
        <v>616</v>
      </c>
      <c r="F3811" s="3">
        <v>0</v>
      </c>
      <c r="G3811" s="8" t="s">
        <v>2776</v>
      </c>
      <c r="H3811" s="8" t="s">
        <v>5161</v>
      </c>
      <c r="I3811" s="3">
        <v>28</v>
      </c>
      <c r="J3811" s="3" t="s">
        <v>6284</v>
      </c>
      <c r="K3811" s="17" t="str">
        <f>HYPERLINK("http://ictvonline.org/taxonomyHistory.asp?taxnode_id=20174195","ICTVonline=20174195")</f>
        <v>ICTVonline=20174195</v>
      </c>
      <c r="L3811" s="3">
        <v>3810</v>
      </c>
    </row>
    <row r="3812" spans="1:12" x14ac:dyDescent="0.15">
      <c r="A3812" s="1" t="s">
        <v>908</v>
      </c>
      <c r="B3812" s="1" t="s">
        <v>1684</v>
      </c>
      <c r="D3812" s="1" t="s">
        <v>908</v>
      </c>
      <c r="E3812" s="1" t="s">
        <v>962</v>
      </c>
      <c r="F3812" s="3">
        <v>0</v>
      </c>
      <c r="G3812" s="8" t="s">
        <v>2776</v>
      </c>
      <c r="H3812" s="8" t="s">
        <v>5161</v>
      </c>
      <c r="I3812" s="3">
        <v>28</v>
      </c>
      <c r="J3812" s="3" t="s">
        <v>6284</v>
      </c>
      <c r="K3812" s="17" t="str">
        <f>HYPERLINK("http://ictvonline.org/taxonomyHistory.asp?taxnode_id=20174196","ICTVonline=20174196")</f>
        <v>ICTVonline=20174196</v>
      </c>
      <c r="L3812" s="3">
        <v>3811</v>
      </c>
    </row>
    <row r="3813" spans="1:12" x14ac:dyDescent="0.15">
      <c r="A3813" s="1" t="s">
        <v>908</v>
      </c>
      <c r="B3813" s="1" t="s">
        <v>1684</v>
      </c>
      <c r="D3813" s="1" t="s">
        <v>908</v>
      </c>
      <c r="E3813" s="1" t="s">
        <v>963</v>
      </c>
      <c r="F3813" s="3">
        <v>0</v>
      </c>
      <c r="G3813" s="8" t="s">
        <v>2776</v>
      </c>
      <c r="H3813" s="8" t="s">
        <v>5161</v>
      </c>
      <c r="I3813" s="3">
        <v>28</v>
      </c>
      <c r="J3813" s="3" t="s">
        <v>6284</v>
      </c>
      <c r="K3813" s="17" t="str">
        <f>HYPERLINK("http://ictvonline.org/taxonomyHistory.asp?taxnode_id=20174197","ICTVonline=20174197")</f>
        <v>ICTVonline=20174197</v>
      </c>
      <c r="L3813" s="3">
        <v>3812</v>
      </c>
    </row>
    <row r="3814" spans="1:12" x14ac:dyDescent="0.15">
      <c r="A3814" s="1" t="s">
        <v>908</v>
      </c>
      <c r="B3814" s="1" t="s">
        <v>1684</v>
      </c>
      <c r="D3814" s="1" t="s">
        <v>908</v>
      </c>
      <c r="E3814" s="1" t="s">
        <v>6287</v>
      </c>
      <c r="F3814" s="3">
        <v>0</v>
      </c>
      <c r="G3814" s="8" t="s">
        <v>2776</v>
      </c>
      <c r="H3814" s="8" t="s">
        <v>5162</v>
      </c>
      <c r="I3814" s="3">
        <v>32</v>
      </c>
      <c r="J3814" s="3" t="s">
        <v>5564</v>
      </c>
      <c r="K3814" s="17" t="str">
        <f>HYPERLINK("http://ictvonline.org/taxonomyHistory.asp?taxnode_id=20174198","ICTVonline=20174198")</f>
        <v>ICTVonline=20174198</v>
      </c>
      <c r="L3814" s="3">
        <v>3813</v>
      </c>
    </row>
    <row r="3815" spans="1:12" x14ac:dyDescent="0.15">
      <c r="A3815" s="1" t="s">
        <v>908</v>
      </c>
      <c r="B3815" s="1" t="s">
        <v>1684</v>
      </c>
      <c r="D3815" s="1" t="s">
        <v>908</v>
      </c>
      <c r="E3815" s="1" t="s">
        <v>6288</v>
      </c>
      <c r="F3815" s="3">
        <v>0</v>
      </c>
      <c r="G3815" s="8" t="s">
        <v>2776</v>
      </c>
      <c r="H3815" s="8" t="s">
        <v>5162</v>
      </c>
      <c r="I3815" s="3">
        <v>32</v>
      </c>
      <c r="J3815" s="3" t="s">
        <v>5564</v>
      </c>
      <c r="K3815" s="17" t="str">
        <f>HYPERLINK("http://ictvonline.org/taxonomyHistory.asp?taxnode_id=20174199","ICTVonline=20174199")</f>
        <v>ICTVonline=20174199</v>
      </c>
      <c r="L3815" s="3">
        <v>3814</v>
      </c>
    </row>
    <row r="3816" spans="1:12" x14ac:dyDescent="0.15">
      <c r="A3816" s="1" t="s">
        <v>908</v>
      </c>
      <c r="B3816" s="1" t="s">
        <v>1684</v>
      </c>
      <c r="D3816" s="1" t="s">
        <v>908</v>
      </c>
      <c r="E3816" s="1" t="s">
        <v>880</v>
      </c>
      <c r="F3816" s="3">
        <v>0</v>
      </c>
      <c r="G3816" s="8" t="s">
        <v>2776</v>
      </c>
      <c r="H3816" s="8" t="s">
        <v>5161</v>
      </c>
      <c r="I3816" s="3">
        <v>28</v>
      </c>
      <c r="J3816" s="3" t="s">
        <v>6284</v>
      </c>
      <c r="K3816" s="17" t="str">
        <f>HYPERLINK("http://ictvonline.org/taxonomyHistory.asp?taxnode_id=20174200","ICTVonline=20174200")</f>
        <v>ICTVonline=20174200</v>
      </c>
      <c r="L3816" s="3">
        <v>3815</v>
      </c>
    </row>
    <row r="3817" spans="1:12" x14ac:dyDescent="0.15">
      <c r="A3817" s="1" t="s">
        <v>908</v>
      </c>
      <c r="B3817" s="1" t="s">
        <v>1684</v>
      </c>
      <c r="D3817" s="1" t="s">
        <v>908</v>
      </c>
      <c r="E3817" s="1" t="s">
        <v>881</v>
      </c>
      <c r="F3817" s="3">
        <v>0</v>
      </c>
      <c r="G3817" s="8" t="s">
        <v>2776</v>
      </c>
      <c r="H3817" s="8" t="s">
        <v>5161</v>
      </c>
      <c r="I3817" s="3">
        <v>28</v>
      </c>
      <c r="J3817" s="3" t="s">
        <v>6284</v>
      </c>
      <c r="K3817" s="17" t="str">
        <f>HYPERLINK("http://ictvonline.org/taxonomyHistory.asp?taxnode_id=20174201","ICTVonline=20174201")</f>
        <v>ICTVonline=20174201</v>
      </c>
      <c r="L3817" s="3">
        <v>3816</v>
      </c>
    </row>
    <row r="3818" spans="1:12" x14ac:dyDescent="0.15">
      <c r="A3818" s="1" t="s">
        <v>908</v>
      </c>
      <c r="B3818" s="1" t="s">
        <v>1684</v>
      </c>
      <c r="D3818" s="1" t="s">
        <v>908</v>
      </c>
      <c r="E3818" s="1" t="s">
        <v>882</v>
      </c>
      <c r="F3818" s="3">
        <v>0</v>
      </c>
      <c r="G3818" s="8" t="s">
        <v>2776</v>
      </c>
      <c r="H3818" s="8" t="s">
        <v>5161</v>
      </c>
      <c r="I3818" s="3">
        <v>28</v>
      </c>
      <c r="J3818" s="3" t="s">
        <v>6284</v>
      </c>
      <c r="K3818" s="17" t="str">
        <f>HYPERLINK("http://ictvonline.org/taxonomyHistory.asp?taxnode_id=20174202","ICTVonline=20174202")</f>
        <v>ICTVonline=20174202</v>
      </c>
      <c r="L3818" s="3">
        <v>3817</v>
      </c>
    </row>
    <row r="3819" spans="1:12" x14ac:dyDescent="0.15">
      <c r="A3819" s="1" t="s">
        <v>908</v>
      </c>
      <c r="B3819" s="1" t="s">
        <v>1684</v>
      </c>
      <c r="D3819" s="1" t="s">
        <v>908</v>
      </c>
      <c r="E3819" s="1" t="s">
        <v>883</v>
      </c>
      <c r="F3819" s="3">
        <v>0</v>
      </c>
      <c r="G3819" s="8" t="s">
        <v>2776</v>
      </c>
      <c r="H3819" s="8" t="s">
        <v>5161</v>
      </c>
      <c r="I3819" s="3">
        <v>28</v>
      </c>
      <c r="J3819" s="3" t="s">
        <v>6284</v>
      </c>
      <c r="K3819" s="17" t="str">
        <f>HYPERLINK("http://ictvonline.org/taxonomyHistory.asp?taxnode_id=20174203","ICTVonline=20174203")</f>
        <v>ICTVonline=20174203</v>
      </c>
      <c r="L3819" s="3">
        <v>3818</v>
      </c>
    </row>
    <row r="3820" spans="1:12" x14ac:dyDescent="0.15">
      <c r="A3820" s="1" t="s">
        <v>908</v>
      </c>
      <c r="B3820" s="1" t="s">
        <v>1684</v>
      </c>
      <c r="D3820" s="1" t="s">
        <v>908</v>
      </c>
      <c r="E3820" s="1" t="s">
        <v>884</v>
      </c>
      <c r="F3820" s="3">
        <v>0</v>
      </c>
      <c r="G3820" s="8" t="s">
        <v>2776</v>
      </c>
      <c r="H3820" s="8" t="s">
        <v>5161</v>
      </c>
      <c r="I3820" s="3">
        <v>28</v>
      </c>
      <c r="J3820" s="3" t="s">
        <v>6284</v>
      </c>
      <c r="K3820" s="17" t="str">
        <f>HYPERLINK("http://ictvonline.org/taxonomyHistory.asp?taxnode_id=20174204","ICTVonline=20174204")</f>
        <v>ICTVonline=20174204</v>
      </c>
      <c r="L3820" s="3">
        <v>3819</v>
      </c>
    </row>
    <row r="3821" spans="1:12" x14ac:dyDescent="0.15">
      <c r="A3821" s="1" t="s">
        <v>908</v>
      </c>
      <c r="B3821" s="1" t="s">
        <v>1684</v>
      </c>
      <c r="D3821" s="1" t="s">
        <v>908</v>
      </c>
      <c r="E3821" s="1" t="s">
        <v>887</v>
      </c>
      <c r="F3821" s="3">
        <v>0</v>
      </c>
      <c r="G3821" s="8" t="s">
        <v>2776</v>
      </c>
      <c r="H3821" s="8" t="s">
        <v>5161</v>
      </c>
      <c r="I3821" s="3">
        <v>28</v>
      </c>
      <c r="J3821" s="3" t="s">
        <v>6284</v>
      </c>
      <c r="K3821" s="17" t="str">
        <f>HYPERLINK("http://ictvonline.org/taxonomyHistory.asp?taxnode_id=20174205","ICTVonline=20174205")</f>
        <v>ICTVonline=20174205</v>
      </c>
      <c r="L3821" s="3">
        <v>3820</v>
      </c>
    </row>
    <row r="3822" spans="1:12" x14ac:dyDescent="0.15">
      <c r="A3822" s="1" t="s">
        <v>908</v>
      </c>
      <c r="B3822" s="1" t="s">
        <v>1937</v>
      </c>
      <c r="C3822" s="1" t="s">
        <v>1938</v>
      </c>
      <c r="D3822" s="1" t="s">
        <v>2558</v>
      </c>
      <c r="E3822" s="1" t="s">
        <v>5046</v>
      </c>
      <c r="F3822" s="3">
        <v>0</v>
      </c>
      <c r="G3822" s="8" t="s">
        <v>3895</v>
      </c>
      <c r="H3822" s="8" t="s">
        <v>5159</v>
      </c>
      <c r="I3822" s="3">
        <v>31</v>
      </c>
      <c r="J3822" s="3" t="s">
        <v>6289</v>
      </c>
      <c r="K3822" s="17" t="str">
        <f>HYPERLINK("http://ictvonline.org/taxonomyHistory.asp?taxnode_id=20174209","ICTVonline=20174209")</f>
        <v>ICTVonline=20174209</v>
      </c>
      <c r="L3822" s="3">
        <v>3821</v>
      </c>
    </row>
    <row r="3823" spans="1:12" x14ac:dyDescent="0.15">
      <c r="A3823" s="1" t="s">
        <v>908</v>
      </c>
      <c r="B3823" s="1" t="s">
        <v>1937</v>
      </c>
      <c r="C3823" s="1" t="s">
        <v>1938</v>
      </c>
      <c r="D3823" s="1" t="s">
        <v>2558</v>
      </c>
      <c r="E3823" s="1" t="s">
        <v>2559</v>
      </c>
      <c r="F3823" s="3">
        <v>0</v>
      </c>
      <c r="G3823" s="8" t="s">
        <v>3895</v>
      </c>
      <c r="H3823" s="8" t="s">
        <v>5159</v>
      </c>
      <c r="I3823" s="3">
        <v>28</v>
      </c>
      <c r="J3823" s="3" t="s">
        <v>6290</v>
      </c>
      <c r="K3823" s="17" t="str">
        <f>HYPERLINK("http://ictvonline.org/taxonomyHistory.asp?taxnode_id=20174210","ICTVonline=20174210")</f>
        <v>ICTVonline=20174210</v>
      </c>
      <c r="L3823" s="3">
        <v>3822</v>
      </c>
    </row>
    <row r="3824" spans="1:12" x14ac:dyDescent="0.15">
      <c r="A3824" s="1" t="s">
        <v>908</v>
      </c>
      <c r="B3824" s="1" t="s">
        <v>1937</v>
      </c>
      <c r="C3824" s="1" t="s">
        <v>1938</v>
      </c>
      <c r="D3824" s="1" t="s">
        <v>2558</v>
      </c>
      <c r="E3824" s="1" t="s">
        <v>2560</v>
      </c>
      <c r="F3824" s="3">
        <v>0</v>
      </c>
      <c r="G3824" s="8" t="s">
        <v>3895</v>
      </c>
      <c r="H3824" s="8" t="s">
        <v>5159</v>
      </c>
      <c r="I3824" s="3">
        <v>28</v>
      </c>
      <c r="J3824" s="3" t="s">
        <v>6290</v>
      </c>
      <c r="K3824" s="17" t="str">
        <f>HYPERLINK("http://ictvonline.org/taxonomyHistory.asp?taxnode_id=20174211","ICTVonline=20174211")</f>
        <v>ICTVonline=20174211</v>
      </c>
      <c r="L3824" s="3">
        <v>3823</v>
      </c>
    </row>
    <row r="3825" spans="1:12" x14ac:dyDescent="0.15">
      <c r="A3825" s="1" t="s">
        <v>908</v>
      </c>
      <c r="B3825" s="1" t="s">
        <v>1937</v>
      </c>
      <c r="C3825" s="1" t="s">
        <v>1938</v>
      </c>
      <c r="D3825" s="1" t="s">
        <v>2558</v>
      </c>
      <c r="E3825" s="1" t="s">
        <v>5047</v>
      </c>
      <c r="F3825" s="3">
        <v>0</v>
      </c>
      <c r="G3825" s="8" t="s">
        <v>3895</v>
      </c>
      <c r="H3825" s="8" t="s">
        <v>5159</v>
      </c>
      <c r="I3825" s="3">
        <v>31</v>
      </c>
      <c r="J3825" s="3" t="s">
        <v>6289</v>
      </c>
      <c r="K3825" s="17" t="str">
        <f>HYPERLINK("http://ictvonline.org/taxonomyHistory.asp?taxnode_id=20174212","ICTVonline=20174212")</f>
        <v>ICTVonline=20174212</v>
      </c>
      <c r="L3825" s="3">
        <v>3824</v>
      </c>
    </row>
    <row r="3826" spans="1:12" x14ac:dyDescent="0.15">
      <c r="A3826" s="1" t="s">
        <v>908</v>
      </c>
      <c r="B3826" s="1" t="s">
        <v>1937</v>
      </c>
      <c r="C3826" s="1" t="s">
        <v>1938</v>
      </c>
      <c r="D3826" s="1" t="s">
        <v>2558</v>
      </c>
      <c r="E3826" s="1" t="s">
        <v>2561</v>
      </c>
      <c r="F3826" s="3">
        <v>0</v>
      </c>
      <c r="G3826" s="8" t="s">
        <v>3895</v>
      </c>
      <c r="H3826" s="8" t="s">
        <v>5159</v>
      </c>
      <c r="I3826" s="3">
        <v>28</v>
      </c>
      <c r="J3826" s="3" t="s">
        <v>6290</v>
      </c>
      <c r="K3826" s="17" t="str">
        <f>HYPERLINK("http://ictvonline.org/taxonomyHistory.asp?taxnode_id=20174213","ICTVonline=20174213")</f>
        <v>ICTVonline=20174213</v>
      </c>
      <c r="L3826" s="3">
        <v>3825</v>
      </c>
    </row>
    <row r="3827" spans="1:12" x14ac:dyDescent="0.15">
      <c r="A3827" s="1" t="s">
        <v>908</v>
      </c>
      <c r="B3827" s="1" t="s">
        <v>1937</v>
      </c>
      <c r="C3827" s="1" t="s">
        <v>1938</v>
      </c>
      <c r="D3827" s="1" t="s">
        <v>2558</v>
      </c>
      <c r="E3827" s="1" t="s">
        <v>2562</v>
      </c>
      <c r="F3827" s="3">
        <v>0</v>
      </c>
      <c r="G3827" s="8" t="s">
        <v>3895</v>
      </c>
      <c r="H3827" s="8" t="s">
        <v>5159</v>
      </c>
      <c r="I3827" s="3">
        <v>28</v>
      </c>
      <c r="J3827" s="3" t="s">
        <v>6290</v>
      </c>
      <c r="K3827" s="17" t="str">
        <f>HYPERLINK("http://ictvonline.org/taxonomyHistory.asp?taxnode_id=20174214","ICTVonline=20174214")</f>
        <v>ICTVonline=20174214</v>
      </c>
      <c r="L3827" s="3">
        <v>3826</v>
      </c>
    </row>
    <row r="3828" spans="1:12" x14ac:dyDescent="0.15">
      <c r="A3828" s="1" t="s">
        <v>908</v>
      </c>
      <c r="B3828" s="1" t="s">
        <v>1937</v>
      </c>
      <c r="C3828" s="1" t="s">
        <v>1938</v>
      </c>
      <c r="D3828" s="1" t="s">
        <v>2558</v>
      </c>
      <c r="E3828" s="1" t="s">
        <v>5048</v>
      </c>
      <c r="F3828" s="3">
        <v>0</v>
      </c>
      <c r="G3828" s="8" t="s">
        <v>3895</v>
      </c>
      <c r="H3828" s="8" t="s">
        <v>5159</v>
      </c>
      <c r="I3828" s="3">
        <v>31</v>
      </c>
      <c r="J3828" s="3" t="s">
        <v>6289</v>
      </c>
      <c r="K3828" s="17" t="str">
        <f>HYPERLINK("http://ictvonline.org/taxonomyHistory.asp?taxnode_id=20174215","ICTVonline=20174215")</f>
        <v>ICTVonline=20174215</v>
      </c>
      <c r="L3828" s="3">
        <v>3827</v>
      </c>
    </row>
    <row r="3829" spans="1:12" x14ac:dyDescent="0.15">
      <c r="A3829" s="1" t="s">
        <v>908</v>
      </c>
      <c r="B3829" s="1" t="s">
        <v>1937</v>
      </c>
      <c r="C3829" s="1" t="s">
        <v>1938</v>
      </c>
      <c r="D3829" s="1" t="s">
        <v>2558</v>
      </c>
      <c r="E3829" s="1" t="s">
        <v>5049</v>
      </c>
      <c r="F3829" s="3">
        <v>0</v>
      </c>
      <c r="G3829" s="8" t="s">
        <v>3895</v>
      </c>
      <c r="H3829" s="8" t="s">
        <v>5159</v>
      </c>
      <c r="I3829" s="3">
        <v>31</v>
      </c>
      <c r="J3829" s="3" t="s">
        <v>6289</v>
      </c>
      <c r="K3829" s="17" t="str">
        <f>HYPERLINK("http://ictvonline.org/taxonomyHistory.asp?taxnode_id=20174216","ICTVonline=20174216")</f>
        <v>ICTVonline=20174216</v>
      </c>
      <c r="L3829" s="3">
        <v>3828</v>
      </c>
    </row>
    <row r="3830" spans="1:12" x14ac:dyDescent="0.15">
      <c r="A3830" s="1" t="s">
        <v>908</v>
      </c>
      <c r="B3830" s="1" t="s">
        <v>1937</v>
      </c>
      <c r="C3830" s="1" t="s">
        <v>1938</v>
      </c>
      <c r="D3830" s="1" t="s">
        <v>2558</v>
      </c>
      <c r="E3830" s="1" t="s">
        <v>5050</v>
      </c>
      <c r="F3830" s="3">
        <v>0</v>
      </c>
      <c r="G3830" s="8" t="s">
        <v>3895</v>
      </c>
      <c r="H3830" s="8" t="s">
        <v>5159</v>
      </c>
      <c r="I3830" s="3">
        <v>31</v>
      </c>
      <c r="J3830" s="3" t="s">
        <v>6289</v>
      </c>
      <c r="K3830" s="17" t="str">
        <f>HYPERLINK("http://ictvonline.org/taxonomyHistory.asp?taxnode_id=20174217","ICTVonline=20174217")</f>
        <v>ICTVonline=20174217</v>
      </c>
      <c r="L3830" s="3">
        <v>3829</v>
      </c>
    </row>
    <row r="3831" spans="1:12" x14ac:dyDescent="0.15">
      <c r="A3831" s="1" t="s">
        <v>908</v>
      </c>
      <c r="B3831" s="1" t="s">
        <v>1937</v>
      </c>
      <c r="C3831" s="1" t="s">
        <v>1938</v>
      </c>
      <c r="D3831" s="1" t="s">
        <v>2558</v>
      </c>
      <c r="E3831" s="1" t="s">
        <v>2563</v>
      </c>
      <c r="F3831" s="3">
        <v>1</v>
      </c>
      <c r="G3831" s="8" t="s">
        <v>3895</v>
      </c>
      <c r="H3831" s="8" t="s">
        <v>5159</v>
      </c>
      <c r="I3831" s="3">
        <v>28</v>
      </c>
      <c r="J3831" s="3" t="s">
        <v>6290</v>
      </c>
      <c r="K3831" s="17" t="str">
        <f>HYPERLINK("http://ictvonline.org/taxonomyHistory.asp?taxnode_id=20174218","ICTVonline=20174218")</f>
        <v>ICTVonline=20174218</v>
      </c>
      <c r="L3831" s="3">
        <v>3830</v>
      </c>
    </row>
    <row r="3832" spans="1:12" x14ac:dyDescent="0.15">
      <c r="A3832" s="1" t="s">
        <v>908</v>
      </c>
      <c r="B3832" s="1" t="s">
        <v>1937</v>
      </c>
      <c r="C3832" s="1" t="s">
        <v>1938</v>
      </c>
      <c r="D3832" s="1" t="s">
        <v>2558</v>
      </c>
      <c r="E3832" s="1" t="s">
        <v>2564</v>
      </c>
      <c r="F3832" s="3">
        <v>0</v>
      </c>
      <c r="G3832" s="8" t="s">
        <v>3895</v>
      </c>
      <c r="H3832" s="8" t="s">
        <v>5159</v>
      </c>
      <c r="I3832" s="3">
        <v>28</v>
      </c>
      <c r="J3832" s="3" t="s">
        <v>6290</v>
      </c>
      <c r="K3832" s="17" t="str">
        <f>HYPERLINK("http://ictvonline.org/taxonomyHistory.asp?taxnode_id=20174219","ICTVonline=20174219")</f>
        <v>ICTVonline=20174219</v>
      </c>
      <c r="L3832" s="3">
        <v>3831</v>
      </c>
    </row>
    <row r="3833" spans="1:12" x14ac:dyDescent="0.15">
      <c r="A3833" s="1" t="s">
        <v>908</v>
      </c>
      <c r="B3833" s="1" t="s">
        <v>1937</v>
      </c>
      <c r="C3833" s="1" t="s">
        <v>1938</v>
      </c>
      <c r="D3833" s="1" t="s">
        <v>1939</v>
      </c>
      <c r="E3833" s="1" t="s">
        <v>2565</v>
      </c>
      <c r="F3833" s="3">
        <v>1</v>
      </c>
      <c r="G3833" s="8" t="s">
        <v>3895</v>
      </c>
      <c r="H3833" s="8" t="s">
        <v>5159</v>
      </c>
      <c r="I3833" s="3">
        <v>28</v>
      </c>
      <c r="J3833" s="3" t="s">
        <v>6290</v>
      </c>
      <c r="K3833" s="17" t="str">
        <f>HYPERLINK("http://ictvonline.org/taxonomyHistory.asp?taxnode_id=20174221","ICTVonline=20174221")</f>
        <v>ICTVonline=20174221</v>
      </c>
      <c r="L3833" s="3">
        <v>3832</v>
      </c>
    </row>
    <row r="3834" spans="1:12" x14ac:dyDescent="0.15">
      <c r="A3834" s="1" t="s">
        <v>908</v>
      </c>
      <c r="B3834" s="1" t="s">
        <v>1937</v>
      </c>
      <c r="C3834" s="1" t="s">
        <v>1938</v>
      </c>
      <c r="D3834" s="1" t="s">
        <v>1939</v>
      </c>
      <c r="E3834" s="1" t="s">
        <v>2566</v>
      </c>
      <c r="F3834" s="3">
        <v>0</v>
      </c>
      <c r="G3834" s="8" t="s">
        <v>3895</v>
      </c>
      <c r="H3834" s="8" t="s">
        <v>5159</v>
      </c>
      <c r="I3834" s="3">
        <v>28</v>
      </c>
      <c r="J3834" s="3" t="s">
        <v>6290</v>
      </c>
      <c r="K3834" s="17" t="str">
        <f>HYPERLINK("http://ictvonline.org/taxonomyHistory.asp?taxnode_id=20174222","ICTVonline=20174222")</f>
        <v>ICTVonline=20174222</v>
      </c>
      <c r="L3834" s="3">
        <v>3833</v>
      </c>
    </row>
    <row r="3835" spans="1:12" x14ac:dyDescent="0.15">
      <c r="A3835" s="1" t="s">
        <v>908</v>
      </c>
      <c r="B3835" s="1" t="s">
        <v>1937</v>
      </c>
      <c r="C3835" s="1" t="s">
        <v>1938</v>
      </c>
      <c r="D3835" s="1" t="s">
        <v>2567</v>
      </c>
      <c r="E3835" s="1" t="s">
        <v>2568</v>
      </c>
      <c r="F3835" s="3">
        <v>1</v>
      </c>
      <c r="G3835" s="8" t="s">
        <v>3895</v>
      </c>
      <c r="H3835" s="8" t="s">
        <v>5159</v>
      </c>
      <c r="I3835" s="3">
        <v>28</v>
      </c>
      <c r="J3835" s="3" t="s">
        <v>6290</v>
      </c>
      <c r="K3835" s="17" t="str">
        <f>HYPERLINK("http://ictvonline.org/taxonomyHistory.asp?taxnode_id=20174224","ICTVonline=20174224")</f>
        <v>ICTVonline=20174224</v>
      </c>
      <c r="L3835" s="3">
        <v>3834</v>
      </c>
    </row>
    <row r="3836" spans="1:12" x14ac:dyDescent="0.15">
      <c r="A3836" s="1" t="s">
        <v>908</v>
      </c>
      <c r="B3836" s="1" t="s">
        <v>1937</v>
      </c>
      <c r="C3836" s="1" t="s">
        <v>1938</v>
      </c>
      <c r="D3836" s="1" t="s">
        <v>2569</v>
      </c>
      <c r="E3836" s="1" t="s">
        <v>2570</v>
      </c>
      <c r="F3836" s="3">
        <v>1</v>
      </c>
      <c r="G3836" s="8" t="s">
        <v>3895</v>
      </c>
      <c r="H3836" s="8" t="s">
        <v>5159</v>
      </c>
      <c r="I3836" s="3">
        <v>28</v>
      </c>
      <c r="J3836" s="3" t="s">
        <v>6290</v>
      </c>
      <c r="K3836" s="17" t="str">
        <f>HYPERLINK("http://ictvonline.org/taxonomyHistory.asp?taxnode_id=20174226","ICTVonline=20174226")</f>
        <v>ICTVonline=20174226</v>
      </c>
      <c r="L3836" s="3">
        <v>3835</v>
      </c>
    </row>
    <row r="3837" spans="1:12" x14ac:dyDescent="0.15">
      <c r="A3837" s="1" t="s">
        <v>908</v>
      </c>
      <c r="B3837" s="1" t="s">
        <v>1937</v>
      </c>
      <c r="C3837" s="1" t="s">
        <v>1938</v>
      </c>
      <c r="D3837" s="1" t="s">
        <v>2569</v>
      </c>
      <c r="E3837" s="1" t="s">
        <v>2571</v>
      </c>
      <c r="F3837" s="3">
        <v>0</v>
      </c>
      <c r="G3837" s="8" t="s">
        <v>3895</v>
      </c>
      <c r="H3837" s="8" t="s">
        <v>5159</v>
      </c>
      <c r="I3837" s="3">
        <v>28</v>
      </c>
      <c r="J3837" s="3" t="s">
        <v>6290</v>
      </c>
      <c r="K3837" s="17" t="str">
        <f>HYPERLINK("http://ictvonline.org/taxonomyHistory.asp?taxnode_id=20174227","ICTVonline=20174227")</f>
        <v>ICTVonline=20174227</v>
      </c>
      <c r="L3837" s="3">
        <v>3836</v>
      </c>
    </row>
    <row r="3838" spans="1:12" x14ac:dyDescent="0.15">
      <c r="A3838" s="1" t="s">
        <v>908</v>
      </c>
      <c r="B3838" s="1" t="s">
        <v>1937</v>
      </c>
      <c r="C3838" s="1" t="s">
        <v>1938</v>
      </c>
      <c r="D3838" s="1" t="s">
        <v>2569</v>
      </c>
      <c r="E3838" s="1" t="s">
        <v>2572</v>
      </c>
      <c r="F3838" s="3">
        <v>0</v>
      </c>
      <c r="G3838" s="8" t="s">
        <v>3895</v>
      </c>
      <c r="H3838" s="8" t="s">
        <v>5159</v>
      </c>
      <c r="I3838" s="3">
        <v>28</v>
      </c>
      <c r="J3838" s="3" t="s">
        <v>6290</v>
      </c>
      <c r="K3838" s="17" t="str">
        <f>HYPERLINK("http://ictvonline.org/taxonomyHistory.asp?taxnode_id=20174228","ICTVonline=20174228")</f>
        <v>ICTVonline=20174228</v>
      </c>
      <c r="L3838" s="3">
        <v>3837</v>
      </c>
    </row>
    <row r="3839" spans="1:12" x14ac:dyDescent="0.15">
      <c r="A3839" s="1" t="s">
        <v>908</v>
      </c>
      <c r="B3839" s="1" t="s">
        <v>1937</v>
      </c>
      <c r="C3839" s="1" t="s">
        <v>1938</v>
      </c>
      <c r="D3839" s="1" t="s">
        <v>2569</v>
      </c>
      <c r="E3839" s="1" t="s">
        <v>2573</v>
      </c>
      <c r="F3839" s="3">
        <v>0</v>
      </c>
      <c r="G3839" s="8" t="s">
        <v>3895</v>
      </c>
      <c r="H3839" s="8" t="s">
        <v>5159</v>
      </c>
      <c r="I3839" s="3">
        <v>28</v>
      </c>
      <c r="J3839" s="3" t="s">
        <v>6290</v>
      </c>
      <c r="K3839" s="17" t="str">
        <f>HYPERLINK("http://ictvonline.org/taxonomyHistory.asp?taxnode_id=20174229","ICTVonline=20174229")</f>
        <v>ICTVonline=20174229</v>
      </c>
      <c r="L3839" s="3">
        <v>3838</v>
      </c>
    </row>
    <row r="3840" spans="1:12" x14ac:dyDescent="0.15">
      <c r="A3840" s="1" t="s">
        <v>908</v>
      </c>
      <c r="B3840" s="1" t="s">
        <v>1937</v>
      </c>
      <c r="C3840" s="1" t="s">
        <v>1938</v>
      </c>
      <c r="D3840" s="1" t="s">
        <v>2569</v>
      </c>
      <c r="E3840" s="1" t="s">
        <v>2574</v>
      </c>
      <c r="F3840" s="3">
        <v>0</v>
      </c>
      <c r="G3840" s="8" t="s">
        <v>3895</v>
      </c>
      <c r="H3840" s="8" t="s">
        <v>5159</v>
      </c>
      <c r="I3840" s="3">
        <v>28</v>
      </c>
      <c r="J3840" s="3" t="s">
        <v>6290</v>
      </c>
      <c r="K3840" s="17" t="str">
        <f>HYPERLINK("http://ictvonline.org/taxonomyHistory.asp?taxnode_id=20174230","ICTVonline=20174230")</f>
        <v>ICTVonline=20174230</v>
      </c>
      <c r="L3840" s="3">
        <v>3839</v>
      </c>
    </row>
    <row r="3841" spans="1:12" x14ac:dyDescent="0.15">
      <c r="A3841" s="1" t="s">
        <v>908</v>
      </c>
      <c r="B3841" s="1" t="s">
        <v>1937</v>
      </c>
      <c r="C3841" s="1" t="s">
        <v>1938</v>
      </c>
      <c r="D3841" s="1" t="s">
        <v>2575</v>
      </c>
      <c r="E3841" s="1" t="s">
        <v>2576</v>
      </c>
      <c r="F3841" s="3">
        <v>1</v>
      </c>
      <c r="G3841" s="8" t="s">
        <v>3895</v>
      </c>
      <c r="H3841" s="8" t="s">
        <v>5159</v>
      </c>
      <c r="I3841" s="3">
        <v>28</v>
      </c>
      <c r="J3841" s="3" t="s">
        <v>6290</v>
      </c>
      <c r="K3841" s="17" t="str">
        <f>HYPERLINK("http://ictvonline.org/taxonomyHistory.asp?taxnode_id=20174232","ICTVonline=20174232")</f>
        <v>ICTVonline=20174232</v>
      </c>
      <c r="L3841" s="3">
        <v>3840</v>
      </c>
    </row>
    <row r="3842" spans="1:12" x14ac:dyDescent="0.15">
      <c r="A3842" s="1" t="s">
        <v>908</v>
      </c>
      <c r="B3842" s="1" t="s">
        <v>1937</v>
      </c>
      <c r="C3842" s="1" t="s">
        <v>1938</v>
      </c>
      <c r="D3842" s="1" t="s">
        <v>908</v>
      </c>
      <c r="E3842" s="1" t="s">
        <v>5051</v>
      </c>
      <c r="F3842" s="3">
        <v>0</v>
      </c>
      <c r="G3842" s="8" t="s">
        <v>3895</v>
      </c>
      <c r="H3842" s="8" t="s">
        <v>5159</v>
      </c>
      <c r="I3842" s="3">
        <v>31</v>
      </c>
      <c r="J3842" s="3" t="s">
        <v>6289</v>
      </c>
      <c r="K3842" s="17" t="str">
        <f>HYPERLINK("http://ictvonline.org/taxonomyHistory.asp?taxnode_id=20174234","ICTVonline=20174234")</f>
        <v>ICTVonline=20174234</v>
      </c>
      <c r="L3842" s="3">
        <v>3841</v>
      </c>
    </row>
    <row r="3843" spans="1:12" x14ac:dyDescent="0.15">
      <c r="A3843" s="1" t="s">
        <v>908</v>
      </c>
      <c r="B3843" s="1" t="s">
        <v>1937</v>
      </c>
      <c r="C3843" s="1" t="s">
        <v>1634</v>
      </c>
      <c r="D3843" s="1" t="s">
        <v>2577</v>
      </c>
      <c r="E3843" s="1" t="s">
        <v>2578</v>
      </c>
      <c r="F3843" s="3">
        <v>1</v>
      </c>
      <c r="G3843" s="8" t="s">
        <v>3895</v>
      </c>
      <c r="H3843" s="8" t="s">
        <v>5159</v>
      </c>
      <c r="I3843" s="3">
        <v>28</v>
      </c>
      <c r="J3843" s="3" t="s">
        <v>6290</v>
      </c>
      <c r="K3843" s="17" t="str">
        <f>HYPERLINK("http://ictvonline.org/taxonomyHistory.asp?taxnode_id=20174237","ICTVonline=20174237")</f>
        <v>ICTVonline=20174237</v>
      </c>
      <c r="L3843" s="3">
        <v>3842</v>
      </c>
    </row>
    <row r="3844" spans="1:12" x14ac:dyDescent="0.15">
      <c r="A3844" s="1" t="s">
        <v>908</v>
      </c>
      <c r="B3844" s="1" t="s">
        <v>1937</v>
      </c>
      <c r="C3844" s="1" t="s">
        <v>1634</v>
      </c>
      <c r="D3844" s="1" t="s">
        <v>2577</v>
      </c>
      <c r="E3844" s="1" t="s">
        <v>2579</v>
      </c>
      <c r="F3844" s="3">
        <v>0</v>
      </c>
      <c r="G3844" s="8" t="s">
        <v>3895</v>
      </c>
      <c r="H3844" s="8" t="s">
        <v>5159</v>
      </c>
      <c r="I3844" s="3">
        <v>28</v>
      </c>
      <c r="J3844" s="3" t="s">
        <v>6290</v>
      </c>
      <c r="K3844" s="17" t="str">
        <f>HYPERLINK("http://ictvonline.org/taxonomyHistory.asp?taxnode_id=20174238","ICTVonline=20174238")</f>
        <v>ICTVonline=20174238</v>
      </c>
      <c r="L3844" s="3">
        <v>3843</v>
      </c>
    </row>
    <row r="3845" spans="1:12" x14ac:dyDescent="0.15">
      <c r="A3845" s="1" t="s">
        <v>908</v>
      </c>
      <c r="B3845" s="1" t="s">
        <v>1937</v>
      </c>
      <c r="C3845" s="1" t="s">
        <v>1634</v>
      </c>
      <c r="D3845" s="1" t="s">
        <v>2577</v>
      </c>
      <c r="E3845" s="1" t="s">
        <v>6291</v>
      </c>
      <c r="F3845" s="3">
        <v>0</v>
      </c>
      <c r="G3845" s="8" t="s">
        <v>3895</v>
      </c>
      <c r="H3845" s="8" t="s">
        <v>5159</v>
      </c>
      <c r="I3845" s="3">
        <v>32</v>
      </c>
      <c r="J3845" s="3" t="s">
        <v>6292</v>
      </c>
      <c r="K3845" s="17" t="str">
        <f>HYPERLINK("http://ictvonline.org/taxonomyHistory.asp?taxnode_id=20175887","ICTVonline=20175887")</f>
        <v>ICTVonline=20175887</v>
      </c>
      <c r="L3845" s="3">
        <v>3844</v>
      </c>
    </row>
    <row r="3846" spans="1:12" x14ac:dyDescent="0.15">
      <c r="A3846" s="1" t="s">
        <v>908</v>
      </c>
      <c r="B3846" s="1" t="s">
        <v>1937</v>
      </c>
      <c r="C3846" s="1" t="s">
        <v>1634</v>
      </c>
      <c r="D3846" s="1" t="s">
        <v>2577</v>
      </c>
      <c r="E3846" s="1" t="s">
        <v>6293</v>
      </c>
      <c r="F3846" s="3">
        <v>0</v>
      </c>
      <c r="G3846" s="8" t="s">
        <v>3895</v>
      </c>
      <c r="H3846" s="8" t="s">
        <v>5159</v>
      </c>
      <c r="I3846" s="3">
        <v>32</v>
      </c>
      <c r="J3846" s="3" t="s">
        <v>6292</v>
      </c>
      <c r="K3846" s="17" t="str">
        <f>HYPERLINK("http://ictvonline.org/taxonomyHistory.asp?taxnode_id=20175888","ICTVonline=20175888")</f>
        <v>ICTVonline=20175888</v>
      </c>
      <c r="L3846" s="3">
        <v>3845</v>
      </c>
    </row>
    <row r="3847" spans="1:12" x14ac:dyDescent="0.15">
      <c r="A3847" s="1" t="s">
        <v>908</v>
      </c>
      <c r="B3847" s="1" t="s">
        <v>1937</v>
      </c>
      <c r="C3847" s="1" t="s">
        <v>1634</v>
      </c>
      <c r="D3847" s="1" t="s">
        <v>2580</v>
      </c>
      <c r="E3847" s="1" t="s">
        <v>2581</v>
      </c>
      <c r="F3847" s="3">
        <v>1</v>
      </c>
      <c r="G3847" s="8" t="s">
        <v>3895</v>
      </c>
      <c r="H3847" s="8" t="s">
        <v>5159</v>
      </c>
      <c r="I3847" s="3">
        <v>28</v>
      </c>
      <c r="J3847" s="3" t="s">
        <v>6290</v>
      </c>
      <c r="K3847" s="17" t="str">
        <f>HYPERLINK("http://ictvonline.org/taxonomyHistory.asp?taxnode_id=20174240","ICTVonline=20174240")</f>
        <v>ICTVonline=20174240</v>
      </c>
      <c r="L3847" s="3">
        <v>3846</v>
      </c>
    </row>
    <row r="3848" spans="1:12" x14ac:dyDescent="0.15">
      <c r="A3848" s="1" t="s">
        <v>908</v>
      </c>
      <c r="B3848" s="1" t="s">
        <v>1937</v>
      </c>
      <c r="C3848" s="1" t="s">
        <v>1634</v>
      </c>
      <c r="D3848" s="1" t="s">
        <v>2582</v>
      </c>
      <c r="E3848" s="1" t="s">
        <v>2583</v>
      </c>
      <c r="F3848" s="3">
        <v>0</v>
      </c>
      <c r="G3848" s="8" t="s">
        <v>3895</v>
      </c>
      <c r="H3848" s="8" t="s">
        <v>5159</v>
      </c>
      <c r="I3848" s="3">
        <v>28</v>
      </c>
      <c r="J3848" s="3" t="s">
        <v>6290</v>
      </c>
      <c r="K3848" s="17" t="str">
        <f>HYPERLINK("http://ictvonline.org/taxonomyHistory.asp?taxnode_id=20174242","ICTVonline=20174242")</f>
        <v>ICTVonline=20174242</v>
      </c>
      <c r="L3848" s="3">
        <v>3847</v>
      </c>
    </row>
    <row r="3849" spans="1:12" x14ac:dyDescent="0.15">
      <c r="A3849" s="1" t="s">
        <v>908</v>
      </c>
      <c r="B3849" s="1" t="s">
        <v>1937</v>
      </c>
      <c r="C3849" s="1" t="s">
        <v>1634</v>
      </c>
      <c r="D3849" s="1" t="s">
        <v>2582</v>
      </c>
      <c r="E3849" s="1" t="s">
        <v>2584</v>
      </c>
      <c r="F3849" s="3">
        <v>0</v>
      </c>
      <c r="G3849" s="8" t="s">
        <v>3895</v>
      </c>
      <c r="H3849" s="8" t="s">
        <v>5159</v>
      </c>
      <c r="I3849" s="3">
        <v>28</v>
      </c>
      <c r="J3849" s="3" t="s">
        <v>6290</v>
      </c>
      <c r="K3849" s="17" t="str">
        <f>HYPERLINK("http://ictvonline.org/taxonomyHistory.asp?taxnode_id=20174243","ICTVonline=20174243")</f>
        <v>ICTVonline=20174243</v>
      </c>
      <c r="L3849" s="3">
        <v>3848</v>
      </c>
    </row>
    <row r="3850" spans="1:12" x14ac:dyDescent="0.15">
      <c r="A3850" s="1" t="s">
        <v>908</v>
      </c>
      <c r="B3850" s="1" t="s">
        <v>1937</v>
      </c>
      <c r="C3850" s="1" t="s">
        <v>1634</v>
      </c>
      <c r="D3850" s="1" t="s">
        <v>2582</v>
      </c>
      <c r="E3850" s="1" t="s">
        <v>2585</v>
      </c>
      <c r="F3850" s="3">
        <v>0</v>
      </c>
      <c r="G3850" s="8" t="s">
        <v>3895</v>
      </c>
      <c r="H3850" s="8" t="s">
        <v>5159</v>
      </c>
      <c r="I3850" s="3">
        <v>28</v>
      </c>
      <c r="J3850" s="3" t="s">
        <v>6290</v>
      </c>
      <c r="K3850" s="17" t="str">
        <f>HYPERLINK("http://ictvonline.org/taxonomyHistory.asp?taxnode_id=20174244","ICTVonline=20174244")</f>
        <v>ICTVonline=20174244</v>
      </c>
      <c r="L3850" s="3">
        <v>3849</v>
      </c>
    </row>
    <row r="3851" spans="1:12" x14ac:dyDescent="0.15">
      <c r="A3851" s="1" t="s">
        <v>908</v>
      </c>
      <c r="B3851" s="1" t="s">
        <v>1937</v>
      </c>
      <c r="C3851" s="1" t="s">
        <v>1634</v>
      </c>
      <c r="D3851" s="1" t="s">
        <v>2582</v>
      </c>
      <c r="E3851" s="1" t="s">
        <v>6294</v>
      </c>
      <c r="F3851" s="3">
        <v>0</v>
      </c>
      <c r="G3851" s="8" t="s">
        <v>3895</v>
      </c>
      <c r="H3851" s="8" t="s">
        <v>5159</v>
      </c>
      <c r="I3851" s="3">
        <v>32</v>
      </c>
      <c r="J3851" s="3" t="s">
        <v>6295</v>
      </c>
      <c r="K3851" s="17" t="str">
        <f>HYPERLINK("http://ictvonline.org/taxonomyHistory.asp?taxnode_id=20175889","ICTVonline=20175889")</f>
        <v>ICTVonline=20175889</v>
      </c>
      <c r="L3851" s="3">
        <v>3850</v>
      </c>
    </row>
    <row r="3852" spans="1:12" x14ac:dyDescent="0.15">
      <c r="A3852" s="1" t="s">
        <v>908</v>
      </c>
      <c r="B3852" s="1" t="s">
        <v>1937</v>
      </c>
      <c r="C3852" s="1" t="s">
        <v>1634</v>
      </c>
      <c r="D3852" s="1" t="s">
        <v>2582</v>
      </c>
      <c r="E3852" s="1" t="s">
        <v>6296</v>
      </c>
      <c r="F3852" s="3">
        <v>0</v>
      </c>
      <c r="G3852" s="8" t="s">
        <v>3895</v>
      </c>
      <c r="H3852" s="8" t="s">
        <v>5159</v>
      </c>
      <c r="I3852" s="3">
        <v>32</v>
      </c>
      <c r="J3852" s="3" t="s">
        <v>6295</v>
      </c>
      <c r="K3852" s="17" t="str">
        <f>HYPERLINK("http://ictvonline.org/taxonomyHistory.asp?taxnode_id=20175890","ICTVonline=20175890")</f>
        <v>ICTVonline=20175890</v>
      </c>
      <c r="L3852" s="3">
        <v>3851</v>
      </c>
    </row>
    <row r="3853" spans="1:12" x14ac:dyDescent="0.15">
      <c r="A3853" s="1" t="s">
        <v>908</v>
      </c>
      <c r="B3853" s="1" t="s">
        <v>1937</v>
      </c>
      <c r="C3853" s="1" t="s">
        <v>1634</v>
      </c>
      <c r="D3853" s="1" t="s">
        <v>2582</v>
      </c>
      <c r="E3853" s="1" t="s">
        <v>6297</v>
      </c>
      <c r="F3853" s="3">
        <v>0</v>
      </c>
      <c r="G3853" s="8" t="s">
        <v>3895</v>
      </c>
      <c r="H3853" s="8" t="s">
        <v>5159</v>
      </c>
      <c r="I3853" s="3">
        <v>32</v>
      </c>
      <c r="J3853" s="3" t="s">
        <v>6295</v>
      </c>
      <c r="K3853" s="17" t="str">
        <f>HYPERLINK("http://ictvonline.org/taxonomyHistory.asp?taxnode_id=20175891","ICTVonline=20175891")</f>
        <v>ICTVonline=20175891</v>
      </c>
      <c r="L3853" s="3">
        <v>3852</v>
      </c>
    </row>
    <row r="3854" spans="1:12" x14ac:dyDescent="0.15">
      <c r="A3854" s="1" t="s">
        <v>908</v>
      </c>
      <c r="B3854" s="1" t="s">
        <v>1937</v>
      </c>
      <c r="C3854" s="1" t="s">
        <v>1634</v>
      </c>
      <c r="D3854" s="1" t="s">
        <v>2582</v>
      </c>
      <c r="E3854" s="1" t="s">
        <v>6298</v>
      </c>
      <c r="F3854" s="3">
        <v>0</v>
      </c>
      <c r="G3854" s="8" t="s">
        <v>3895</v>
      </c>
      <c r="H3854" s="8" t="s">
        <v>5159</v>
      </c>
      <c r="I3854" s="3">
        <v>32</v>
      </c>
      <c r="J3854" s="3" t="s">
        <v>6295</v>
      </c>
      <c r="K3854" s="17" t="str">
        <f>HYPERLINK("http://ictvonline.org/taxonomyHistory.asp?taxnode_id=20175892","ICTVonline=20175892")</f>
        <v>ICTVonline=20175892</v>
      </c>
      <c r="L3854" s="3">
        <v>3853</v>
      </c>
    </row>
    <row r="3855" spans="1:12" x14ac:dyDescent="0.15">
      <c r="A3855" s="1" t="s">
        <v>908</v>
      </c>
      <c r="B3855" s="1" t="s">
        <v>1937</v>
      </c>
      <c r="C3855" s="1" t="s">
        <v>1634</v>
      </c>
      <c r="D3855" s="1" t="s">
        <v>2582</v>
      </c>
      <c r="E3855" s="1" t="s">
        <v>6299</v>
      </c>
      <c r="F3855" s="3">
        <v>0</v>
      </c>
      <c r="G3855" s="8" t="s">
        <v>3895</v>
      </c>
      <c r="H3855" s="8" t="s">
        <v>5159</v>
      </c>
      <c r="I3855" s="3">
        <v>32</v>
      </c>
      <c r="J3855" s="3" t="s">
        <v>6295</v>
      </c>
      <c r="K3855" s="17" t="str">
        <f>HYPERLINK("http://ictvonline.org/taxonomyHistory.asp?taxnode_id=20175893","ICTVonline=20175893")</f>
        <v>ICTVonline=20175893</v>
      </c>
      <c r="L3855" s="3">
        <v>3854</v>
      </c>
    </row>
    <row r="3856" spans="1:12" x14ac:dyDescent="0.15">
      <c r="A3856" s="1" t="s">
        <v>908</v>
      </c>
      <c r="B3856" s="1" t="s">
        <v>1937</v>
      </c>
      <c r="C3856" s="1" t="s">
        <v>1634</v>
      </c>
      <c r="D3856" s="1" t="s">
        <v>2582</v>
      </c>
      <c r="E3856" s="1" t="s">
        <v>6300</v>
      </c>
      <c r="F3856" s="3">
        <v>0</v>
      </c>
      <c r="G3856" s="8" t="s">
        <v>3895</v>
      </c>
      <c r="H3856" s="8" t="s">
        <v>5159</v>
      </c>
      <c r="I3856" s="3">
        <v>32</v>
      </c>
      <c r="J3856" s="3" t="s">
        <v>6295</v>
      </c>
      <c r="K3856" s="17" t="str">
        <f>HYPERLINK("http://ictvonline.org/taxonomyHistory.asp?taxnode_id=20175894","ICTVonline=20175894")</f>
        <v>ICTVonline=20175894</v>
      </c>
      <c r="L3856" s="3">
        <v>3855</v>
      </c>
    </row>
    <row r="3857" spans="1:12" x14ac:dyDescent="0.15">
      <c r="A3857" s="1" t="s">
        <v>908</v>
      </c>
      <c r="B3857" s="1" t="s">
        <v>1937</v>
      </c>
      <c r="C3857" s="1" t="s">
        <v>1634</v>
      </c>
      <c r="D3857" s="1" t="s">
        <v>2582</v>
      </c>
      <c r="E3857" s="1" t="s">
        <v>6301</v>
      </c>
      <c r="F3857" s="3">
        <v>0</v>
      </c>
      <c r="G3857" s="8" t="s">
        <v>3895</v>
      </c>
      <c r="H3857" s="8" t="s">
        <v>5159</v>
      </c>
      <c r="I3857" s="3">
        <v>32</v>
      </c>
      <c r="J3857" s="3" t="s">
        <v>6295</v>
      </c>
      <c r="K3857" s="17" t="str">
        <f>HYPERLINK("http://ictvonline.org/taxonomyHistory.asp?taxnode_id=20175895","ICTVonline=20175895")</f>
        <v>ICTVonline=20175895</v>
      </c>
      <c r="L3857" s="3">
        <v>3856</v>
      </c>
    </row>
    <row r="3858" spans="1:12" x14ac:dyDescent="0.15">
      <c r="A3858" s="1" t="s">
        <v>908</v>
      </c>
      <c r="B3858" s="1" t="s">
        <v>1937</v>
      </c>
      <c r="C3858" s="1" t="s">
        <v>1634</v>
      </c>
      <c r="D3858" s="1" t="s">
        <v>2582</v>
      </c>
      <c r="E3858" s="1" t="s">
        <v>6302</v>
      </c>
      <c r="F3858" s="3">
        <v>0</v>
      </c>
      <c r="G3858" s="8" t="s">
        <v>3895</v>
      </c>
      <c r="H3858" s="8" t="s">
        <v>5159</v>
      </c>
      <c r="I3858" s="3">
        <v>32</v>
      </c>
      <c r="J3858" s="3" t="s">
        <v>6295</v>
      </c>
      <c r="K3858" s="17" t="str">
        <f>HYPERLINK("http://ictvonline.org/taxonomyHistory.asp?taxnode_id=20175896","ICTVonline=20175896")</f>
        <v>ICTVonline=20175896</v>
      </c>
      <c r="L3858" s="3">
        <v>3857</v>
      </c>
    </row>
    <row r="3859" spans="1:12" x14ac:dyDescent="0.15">
      <c r="A3859" s="1" t="s">
        <v>908</v>
      </c>
      <c r="B3859" s="1" t="s">
        <v>1937</v>
      </c>
      <c r="C3859" s="1" t="s">
        <v>1634</v>
      </c>
      <c r="D3859" s="1" t="s">
        <v>2582</v>
      </c>
      <c r="E3859" s="1" t="s">
        <v>2586</v>
      </c>
      <c r="F3859" s="3">
        <v>0</v>
      </c>
      <c r="G3859" s="8" t="s">
        <v>3895</v>
      </c>
      <c r="H3859" s="8" t="s">
        <v>5159</v>
      </c>
      <c r="I3859" s="3">
        <v>28</v>
      </c>
      <c r="J3859" s="3" t="s">
        <v>6290</v>
      </c>
      <c r="K3859" s="17" t="str">
        <f>HYPERLINK("http://ictvonline.org/taxonomyHistory.asp?taxnode_id=20174245","ICTVonline=20174245")</f>
        <v>ICTVonline=20174245</v>
      </c>
      <c r="L3859" s="3">
        <v>3858</v>
      </c>
    </row>
    <row r="3860" spans="1:12" x14ac:dyDescent="0.15">
      <c r="A3860" s="1" t="s">
        <v>908</v>
      </c>
      <c r="B3860" s="1" t="s">
        <v>1937</v>
      </c>
      <c r="C3860" s="1" t="s">
        <v>1634</v>
      </c>
      <c r="D3860" s="1" t="s">
        <v>2582</v>
      </c>
      <c r="E3860" s="1" t="s">
        <v>2587</v>
      </c>
      <c r="F3860" s="3">
        <v>0</v>
      </c>
      <c r="G3860" s="8" t="s">
        <v>3895</v>
      </c>
      <c r="H3860" s="8" t="s">
        <v>5159</v>
      </c>
      <c r="I3860" s="3">
        <v>28</v>
      </c>
      <c r="J3860" s="3" t="s">
        <v>6290</v>
      </c>
      <c r="K3860" s="17" t="str">
        <f>HYPERLINK("http://ictvonline.org/taxonomyHistory.asp?taxnode_id=20174246","ICTVonline=20174246")</f>
        <v>ICTVonline=20174246</v>
      </c>
      <c r="L3860" s="3">
        <v>3859</v>
      </c>
    </row>
    <row r="3861" spans="1:12" x14ac:dyDescent="0.15">
      <c r="A3861" s="1" t="s">
        <v>908</v>
      </c>
      <c r="B3861" s="1" t="s">
        <v>1937</v>
      </c>
      <c r="C3861" s="1" t="s">
        <v>1634</v>
      </c>
      <c r="D3861" s="1" t="s">
        <v>2582</v>
      </c>
      <c r="E3861" s="1" t="s">
        <v>2588</v>
      </c>
      <c r="F3861" s="3">
        <v>0</v>
      </c>
      <c r="G3861" s="8" t="s">
        <v>3895</v>
      </c>
      <c r="H3861" s="8" t="s">
        <v>5159</v>
      </c>
      <c r="I3861" s="3">
        <v>28</v>
      </c>
      <c r="J3861" s="3" t="s">
        <v>6290</v>
      </c>
      <c r="K3861" s="17" t="str">
        <f>HYPERLINK("http://ictvonline.org/taxonomyHistory.asp?taxnode_id=20174247","ICTVonline=20174247")</f>
        <v>ICTVonline=20174247</v>
      </c>
      <c r="L3861" s="3">
        <v>3860</v>
      </c>
    </row>
    <row r="3862" spans="1:12" x14ac:dyDescent="0.15">
      <c r="A3862" s="1" t="s">
        <v>908</v>
      </c>
      <c r="B3862" s="1" t="s">
        <v>1937</v>
      </c>
      <c r="C3862" s="1" t="s">
        <v>1634</v>
      </c>
      <c r="D3862" s="1" t="s">
        <v>2582</v>
      </c>
      <c r="E3862" s="1" t="s">
        <v>2589</v>
      </c>
      <c r="F3862" s="3">
        <v>0</v>
      </c>
      <c r="G3862" s="8" t="s">
        <v>3895</v>
      </c>
      <c r="H3862" s="8" t="s">
        <v>5159</v>
      </c>
      <c r="I3862" s="3">
        <v>28</v>
      </c>
      <c r="J3862" s="3" t="s">
        <v>6290</v>
      </c>
      <c r="K3862" s="17" t="str">
        <f>HYPERLINK("http://ictvonline.org/taxonomyHistory.asp?taxnode_id=20174248","ICTVonline=20174248")</f>
        <v>ICTVonline=20174248</v>
      </c>
      <c r="L3862" s="3">
        <v>3861</v>
      </c>
    </row>
    <row r="3863" spans="1:12" x14ac:dyDescent="0.15">
      <c r="A3863" s="1" t="s">
        <v>908</v>
      </c>
      <c r="B3863" s="1" t="s">
        <v>1937</v>
      </c>
      <c r="C3863" s="1" t="s">
        <v>1634</v>
      </c>
      <c r="D3863" s="1" t="s">
        <v>2582</v>
      </c>
      <c r="E3863" s="1" t="s">
        <v>2590</v>
      </c>
      <c r="F3863" s="3">
        <v>1</v>
      </c>
      <c r="G3863" s="8" t="s">
        <v>3895</v>
      </c>
      <c r="H3863" s="8" t="s">
        <v>5159</v>
      </c>
      <c r="I3863" s="3">
        <v>28</v>
      </c>
      <c r="J3863" s="3" t="s">
        <v>6290</v>
      </c>
      <c r="K3863" s="17" t="str">
        <f>HYPERLINK("http://ictvonline.org/taxonomyHistory.asp?taxnode_id=20174249","ICTVonline=20174249")</f>
        <v>ICTVonline=20174249</v>
      </c>
      <c r="L3863" s="3">
        <v>3862</v>
      </c>
    </row>
    <row r="3864" spans="1:12" x14ac:dyDescent="0.15">
      <c r="A3864" s="1" t="s">
        <v>908</v>
      </c>
      <c r="B3864" s="1" t="s">
        <v>1937</v>
      </c>
      <c r="C3864" s="1" t="s">
        <v>1634</v>
      </c>
      <c r="D3864" s="1" t="s">
        <v>2582</v>
      </c>
      <c r="E3864" s="1" t="s">
        <v>2591</v>
      </c>
      <c r="F3864" s="3">
        <v>0</v>
      </c>
      <c r="G3864" s="8" t="s">
        <v>3895</v>
      </c>
      <c r="H3864" s="8" t="s">
        <v>5159</v>
      </c>
      <c r="I3864" s="3">
        <v>28</v>
      </c>
      <c r="J3864" s="3" t="s">
        <v>6290</v>
      </c>
      <c r="K3864" s="17" t="str">
        <f>HYPERLINK("http://ictvonline.org/taxonomyHistory.asp?taxnode_id=20174250","ICTVonline=20174250")</f>
        <v>ICTVonline=20174250</v>
      </c>
      <c r="L3864" s="3">
        <v>3863</v>
      </c>
    </row>
    <row r="3865" spans="1:12" x14ac:dyDescent="0.15">
      <c r="A3865" s="1" t="s">
        <v>908</v>
      </c>
      <c r="B3865" s="1" t="s">
        <v>1937</v>
      </c>
      <c r="C3865" s="1" t="s">
        <v>1634</v>
      </c>
      <c r="D3865" s="1" t="s">
        <v>2582</v>
      </c>
      <c r="E3865" s="1" t="s">
        <v>2592</v>
      </c>
      <c r="F3865" s="3">
        <v>0</v>
      </c>
      <c r="G3865" s="8" t="s">
        <v>3895</v>
      </c>
      <c r="H3865" s="8" t="s">
        <v>5159</v>
      </c>
      <c r="I3865" s="3">
        <v>28</v>
      </c>
      <c r="J3865" s="3" t="s">
        <v>6290</v>
      </c>
      <c r="K3865" s="17" t="str">
        <f>HYPERLINK("http://ictvonline.org/taxonomyHistory.asp?taxnode_id=20174251","ICTVonline=20174251")</f>
        <v>ICTVonline=20174251</v>
      </c>
      <c r="L3865" s="3">
        <v>3864</v>
      </c>
    </row>
    <row r="3866" spans="1:12" x14ac:dyDescent="0.15">
      <c r="A3866" s="1" t="s">
        <v>908</v>
      </c>
      <c r="B3866" s="1" t="s">
        <v>1937</v>
      </c>
      <c r="C3866" s="1" t="s">
        <v>1634</v>
      </c>
      <c r="D3866" s="1" t="s">
        <v>2582</v>
      </c>
      <c r="E3866" s="1" t="s">
        <v>2593</v>
      </c>
      <c r="F3866" s="3">
        <v>0</v>
      </c>
      <c r="G3866" s="8" t="s">
        <v>3895</v>
      </c>
      <c r="H3866" s="8" t="s">
        <v>5159</v>
      </c>
      <c r="I3866" s="3">
        <v>28</v>
      </c>
      <c r="J3866" s="3" t="s">
        <v>6290</v>
      </c>
      <c r="K3866" s="17" t="str">
        <f>HYPERLINK("http://ictvonline.org/taxonomyHistory.asp?taxnode_id=20174252","ICTVonline=20174252")</f>
        <v>ICTVonline=20174252</v>
      </c>
      <c r="L3866" s="3">
        <v>3865</v>
      </c>
    </row>
    <row r="3867" spans="1:12" x14ac:dyDescent="0.15">
      <c r="A3867" s="1" t="s">
        <v>908</v>
      </c>
      <c r="B3867" s="1" t="s">
        <v>1937</v>
      </c>
      <c r="C3867" s="1" t="s">
        <v>1634</v>
      </c>
      <c r="D3867" s="1" t="s">
        <v>2582</v>
      </c>
      <c r="E3867" s="1" t="s">
        <v>2594</v>
      </c>
      <c r="F3867" s="3">
        <v>0</v>
      </c>
      <c r="G3867" s="8" t="s">
        <v>3895</v>
      </c>
      <c r="H3867" s="8" t="s">
        <v>5159</v>
      </c>
      <c r="I3867" s="3">
        <v>28</v>
      </c>
      <c r="J3867" s="3" t="s">
        <v>6290</v>
      </c>
      <c r="K3867" s="17" t="str">
        <f>HYPERLINK("http://ictvonline.org/taxonomyHistory.asp?taxnode_id=20174253","ICTVonline=20174253")</f>
        <v>ICTVonline=20174253</v>
      </c>
      <c r="L3867" s="3">
        <v>3866</v>
      </c>
    </row>
    <row r="3868" spans="1:12" x14ac:dyDescent="0.15">
      <c r="A3868" s="1" t="s">
        <v>908</v>
      </c>
      <c r="B3868" s="1" t="s">
        <v>1937</v>
      </c>
      <c r="C3868" s="1" t="s">
        <v>1634</v>
      </c>
      <c r="D3868" s="1" t="s">
        <v>2582</v>
      </c>
      <c r="E3868" s="1" t="s">
        <v>6303</v>
      </c>
      <c r="F3868" s="3">
        <v>0</v>
      </c>
      <c r="G3868" s="8" t="s">
        <v>3895</v>
      </c>
      <c r="H3868" s="8" t="s">
        <v>5159</v>
      </c>
      <c r="I3868" s="3">
        <v>32</v>
      </c>
      <c r="J3868" s="3" t="s">
        <v>6295</v>
      </c>
      <c r="K3868" s="17" t="str">
        <f>HYPERLINK("http://ictvonline.org/taxonomyHistory.asp?taxnode_id=20175897","ICTVonline=20175897")</f>
        <v>ICTVonline=20175897</v>
      </c>
      <c r="L3868" s="3">
        <v>3867</v>
      </c>
    </row>
    <row r="3869" spans="1:12" x14ac:dyDescent="0.15">
      <c r="A3869" s="1" t="s">
        <v>908</v>
      </c>
      <c r="B3869" s="1" t="s">
        <v>1937</v>
      </c>
      <c r="C3869" s="1" t="s">
        <v>1634</v>
      </c>
      <c r="D3869" s="1" t="s">
        <v>2595</v>
      </c>
      <c r="E3869" s="1" t="s">
        <v>2596</v>
      </c>
      <c r="F3869" s="3">
        <v>1</v>
      </c>
      <c r="G3869" s="8" t="s">
        <v>3895</v>
      </c>
      <c r="H3869" s="8" t="s">
        <v>5159</v>
      </c>
      <c r="I3869" s="3">
        <v>28</v>
      </c>
      <c r="J3869" s="3" t="s">
        <v>6290</v>
      </c>
      <c r="K3869" s="17" t="str">
        <f>HYPERLINK("http://ictvonline.org/taxonomyHistory.asp?taxnode_id=20174255","ICTVonline=20174255")</f>
        <v>ICTVonline=20174255</v>
      </c>
      <c r="L3869" s="3">
        <v>3868</v>
      </c>
    </row>
    <row r="3870" spans="1:12" x14ac:dyDescent="0.15">
      <c r="A3870" s="1" t="s">
        <v>908</v>
      </c>
      <c r="B3870" s="1" t="s">
        <v>1937</v>
      </c>
      <c r="C3870" s="1" t="s">
        <v>1634</v>
      </c>
      <c r="D3870" s="1" t="s">
        <v>2595</v>
      </c>
      <c r="E3870" s="1" t="s">
        <v>2597</v>
      </c>
      <c r="F3870" s="3">
        <v>0</v>
      </c>
      <c r="G3870" s="8" t="s">
        <v>3895</v>
      </c>
      <c r="H3870" s="8" t="s">
        <v>5159</v>
      </c>
      <c r="I3870" s="3">
        <v>28</v>
      </c>
      <c r="J3870" s="3" t="s">
        <v>6290</v>
      </c>
      <c r="K3870" s="17" t="str">
        <f>HYPERLINK("http://ictvonline.org/taxonomyHistory.asp?taxnode_id=20174256","ICTVonline=20174256")</f>
        <v>ICTVonline=20174256</v>
      </c>
      <c r="L3870" s="3">
        <v>3869</v>
      </c>
    </row>
    <row r="3871" spans="1:12" x14ac:dyDescent="0.15">
      <c r="A3871" s="1" t="s">
        <v>908</v>
      </c>
      <c r="B3871" s="1" t="s">
        <v>1937</v>
      </c>
      <c r="C3871" s="1" t="s">
        <v>1634</v>
      </c>
      <c r="D3871" s="1" t="s">
        <v>2598</v>
      </c>
      <c r="E3871" s="1" t="s">
        <v>2599</v>
      </c>
      <c r="F3871" s="3">
        <v>1</v>
      </c>
      <c r="G3871" s="8" t="s">
        <v>3895</v>
      </c>
      <c r="H3871" s="8" t="s">
        <v>5159</v>
      </c>
      <c r="I3871" s="3">
        <v>28</v>
      </c>
      <c r="J3871" s="3" t="s">
        <v>6290</v>
      </c>
      <c r="K3871" s="17" t="str">
        <f>HYPERLINK("http://ictvonline.org/taxonomyHistory.asp?taxnode_id=20174258","ICTVonline=20174258")</f>
        <v>ICTVonline=20174258</v>
      </c>
      <c r="L3871" s="3">
        <v>3870</v>
      </c>
    </row>
    <row r="3872" spans="1:12" x14ac:dyDescent="0.15">
      <c r="A3872" s="1" t="s">
        <v>908</v>
      </c>
      <c r="B3872" s="1" t="s">
        <v>1937</v>
      </c>
      <c r="C3872" s="1" t="s">
        <v>1634</v>
      </c>
      <c r="D3872" s="1" t="s">
        <v>2598</v>
      </c>
      <c r="E3872" s="1" t="s">
        <v>2600</v>
      </c>
      <c r="F3872" s="3">
        <v>0</v>
      </c>
      <c r="G3872" s="8" t="s">
        <v>3895</v>
      </c>
      <c r="H3872" s="8" t="s">
        <v>5159</v>
      </c>
      <c r="I3872" s="3">
        <v>28</v>
      </c>
      <c r="J3872" s="3" t="s">
        <v>6290</v>
      </c>
      <c r="K3872" s="17" t="str">
        <f>HYPERLINK("http://ictvonline.org/taxonomyHistory.asp?taxnode_id=20174259","ICTVonline=20174259")</f>
        <v>ICTVonline=20174259</v>
      </c>
      <c r="L3872" s="3">
        <v>3871</v>
      </c>
    </row>
    <row r="3873" spans="1:12" x14ac:dyDescent="0.15">
      <c r="A3873" s="1" t="s">
        <v>908</v>
      </c>
      <c r="B3873" s="1" t="s">
        <v>1937</v>
      </c>
      <c r="C3873" s="1" t="s">
        <v>1634</v>
      </c>
      <c r="D3873" s="1" t="s">
        <v>2598</v>
      </c>
      <c r="E3873" s="1" t="s">
        <v>2601</v>
      </c>
      <c r="F3873" s="3">
        <v>0</v>
      </c>
      <c r="G3873" s="8" t="s">
        <v>3895</v>
      </c>
      <c r="H3873" s="8" t="s">
        <v>5159</v>
      </c>
      <c r="I3873" s="3">
        <v>28</v>
      </c>
      <c r="J3873" s="3" t="s">
        <v>6290</v>
      </c>
      <c r="K3873" s="17" t="str">
        <f>HYPERLINK("http://ictvonline.org/taxonomyHistory.asp?taxnode_id=20174260","ICTVonline=20174260")</f>
        <v>ICTVonline=20174260</v>
      </c>
      <c r="L3873" s="3">
        <v>3872</v>
      </c>
    </row>
    <row r="3874" spans="1:12" x14ac:dyDescent="0.15">
      <c r="A3874" s="1" t="s">
        <v>908</v>
      </c>
      <c r="B3874" s="1" t="s">
        <v>1937</v>
      </c>
      <c r="C3874" s="1" t="s">
        <v>1634</v>
      </c>
      <c r="D3874" s="1" t="s">
        <v>2598</v>
      </c>
      <c r="E3874" s="1" t="s">
        <v>2602</v>
      </c>
      <c r="F3874" s="3">
        <v>0</v>
      </c>
      <c r="G3874" s="8" t="s">
        <v>3895</v>
      </c>
      <c r="H3874" s="8" t="s">
        <v>5159</v>
      </c>
      <c r="I3874" s="3">
        <v>28</v>
      </c>
      <c r="J3874" s="3" t="s">
        <v>6290</v>
      </c>
      <c r="K3874" s="17" t="str">
        <f>HYPERLINK("http://ictvonline.org/taxonomyHistory.asp?taxnode_id=20174261","ICTVonline=20174261")</f>
        <v>ICTVonline=20174261</v>
      </c>
      <c r="L3874" s="3">
        <v>3873</v>
      </c>
    </row>
    <row r="3875" spans="1:12" x14ac:dyDescent="0.15">
      <c r="A3875" s="1" t="s">
        <v>908</v>
      </c>
      <c r="B3875" s="1" t="s">
        <v>1937</v>
      </c>
      <c r="C3875" s="1" t="s">
        <v>1634</v>
      </c>
      <c r="D3875" s="1" t="s">
        <v>2598</v>
      </c>
      <c r="E3875" s="1" t="s">
        <v>2603</v>
      </c>
      <c r="F3875" s="3">
        <v>0</v>
      </c>
      <c r="G3875" s="8" t="s">
        <v>3895</v>
      </c>
      <c r="H3875" s="8" t="s">
        <v>5159</v>
      </c>
      <c r="I3875" s="3">
        <v>28</v>
      </c>
      <c r="J3875" s="3" t="s">
        <v>6290</v>
      </c>
      <c r="K3875" s="17" t="str">
        <f>HYPERLINK("http://ictvonline.org/taxonomyHistory.asp?taxnode_id=20174262","ICTVonline=20174262")</f>
        <v>ICTVonline=20174262</v>
      </c>
      <c r="L3875" s="3">
        <v>3874</v>
      </c>
    </row>
    <row r="3876" spans="1:12" x14ac:dyDescent="0.15">
      <c r="A3876" s="1" t="s">
        <v>908</v>
      </c>
      <c r="B3876" s="1" t="s">
        <v>1937</v>
      </c>
      <c r="C3876" s="1" t="s">
        <v>1634</v>
      </c>
      <c r="D3876" s="1" t="s">
        <v>2598</v>
      </c>
      <c r="E3876" s="1" t="s">
        <v>2604</v>
      </c>
      <c r="F3876" s="3">
        <v>0</v>
      </c>
      <c r="G3876" s="8" t="s">
        <v>3895</v>
      </c>
      <c r="H3876" s="8" t="s">
        <v>5159</v>
      </c>
      <c r="I3876" s="3">
        <v>28</v>
      </c>
      <c r="J3876" s="3" t="s">
        <v>6290</v>
      </c>
      <c r="K3876" s="17" t="str">
        <f>HYPERLINK("http://ictvonline.org/taxonomyHistory.asp?taxnode_id=20174263","ICTVonline=20174263")</f>
        <v>ICTVonline=20174263</v>
      </c>
      <c r="L3876" s="3">
        <v>3875</v>
      </c>
    </row>
    <row r="3877" spans="1:12" x14ac:dyDescent="0.15">
      <c r="A3877" s="1" t="s">
        <v>908</v>
      </c>
      <c r="B3877" s="1" t="s">
        <v>1937</v>
      </c>
      <c r="C3877" s="1" t="s">
        <v>1634</v>
      </c>
      <c r="D3877" s="1" t="s">
        <v>2598</v>
      </c>
      <c r="E3877" s="1" t="s">
        <v>2605</v>
      </c>
      <c r="F3877" s="3">
        <v>0</v>
      </c>
      <c r="G3877" s="8" t="s">
        <v>3895</v>
      </c>
      <c r="H3877" s="8" t="s">
        <v>5159</v>
      </c>
      <c r="I3877" s="3">
        <v>28</v>
      </c>
      <c r="J3877" s="3" t="s">
        <v>6290</v>
      </c>
      <c r="K3877" s="17" t="str">
        <f>HYPERLINK("http://ictvonline.org/taxonomyHistory.asp?taxnode_id=20174264","ICTVonline=20174264")</f>
        <v>ICTVonline=20174264</v>
      </c>
      <c r="L3877" s="3">
        <v>3876</v>
      </c>
    </row>
    <row r="3878" spans="1:12" x14ac:dyDescent="0.15">
      <c r="A3878" s="1" t="s">
        <v>908</v>
      </c>
      <c r="B3878" s="1" t="s">
        <v>1937</v>
      </c>
      <c r="C3878" s="1" t="s">
        <v>1634</v>
      </c>
      <c r="D3878" s="1" t="s">
        <v>2606</v>
      </c>
      <c r="E3878" s="1" t="s">
        <v>2607</v>
      </c>
      <c r="F3878" s="3">
        <v>1</v>
      </c>
      <c r="G3878" s="8" t="s">
        <v>3895</v>
      </c>
      <c r="H3878" s="8" t="s">
        <v>5159</v>
      </c>
      <c r="I3878" s="3">
        <v>28</v>
      </c>
      <c r="J3878" s="3" t="s">
        <v>6290</v>
      </c>
      <c r="K3878" s="17" t="str">
        <f>HYPERLINK("http://ictvonline.org/taxonomyHistory.asp?taxnode_id=20174266","ICTVonline=20174266")</f>
        <v>ICTVonline=20174266</v>
      </c>
      <c r="L3878" s="3">
        <v>3877</v>
      </c>
    </row>
    <row r="3879" spans="1:12" x14ac:dyDescent="0.15">
      <c r="A3879" s="1" t="s">
        <v>908</v>
      </c>
      <c r="B3879" s="1" t="s">
        <v>1937</v>
      </c>
      <c r="C3879" s="1" t="s">
        <v>1634</v>
      </c>
      <c r="D3879" s="1" t="s">
        <v>2606</v>
      </c>
      <c r="E3879" s="1" t="s">
        <v>2608</v>
      </c>
      <c r="F3879" s="3">
        <v>0</v>
      </c>
      <c r="G3879" s="8" t="s">
        <v>3895</v>
      </c>
      <c r="H3879" s="8" t="s">
        <v>5159</v>
      </c>
      <c r="I3879" s="3">
        <v>28</v>
      </c>
      <c r="J3879" s="3" t="s">
        <v>6290</v>
      </c>
      <c r="K3879" s="17" t="str">
        <f>HYPERLINK("http://ictvonline.org/taxonomyHistory.asp?taxnode_id=20174267","ICTVonline=20174267")</f>
        <v>ICTVonline=20174267</v>
      </c>
      <c r="L3879" s="3">
        <v>3878</v>
      </c>
    </row>
    <row r="3880" spans="1:12" x14ac:dyDescent="0.15">
      <c r="A3880" s="1" t="s">
        <v>908</v>
      </c>
      <c r="B3880" s="1" t="s">
        <v>1937</v>
      </c>
      <c r="C3880" s="1" t="s">
        <v>1634</v>
      </c>
      <c r="D3880" s="1" t="s">
        <v>2606</v>
      </c>
      <c r="E3880" s="1" t="s">
        <v>2609</v>
      </c>
      <c r="F3880" s="3">
        <v>0</v>
      </c>
      <c r="G3880" s="8" t="s">
        <v>3895</v>
      </c>
      <c r="H3880" s="8" t="s">
        <v>5159</v>
      </c>
      <c r="I3880" s="3">
        <v>28</v>
      </c>
      <c r="J3880" s="3" t="s">
        <v>6290</v>
      </c>
      <c r="K3880" s="17" t="str">
        <f>HYPERLINK("http://ictvonline.org/taxonomyHistory.asp?taxnode_id=20174268","ICTVonline=20174268")</f>
        <v>ICTVonline=20174268</v>
      </c>
      <c r="L3880" s="3">
        <v>3879</v>
      </c>
    </row>
    <row r="3881" spans="1:12" x14ac:dyDescent="0.15">
      <c r="A3881" s="1" t="s">
        <v>908</v>
      </c>
      <c r="B3881" s="1" t="s">
        <v>1937</v>
      </c>
      <c r="C3881" s="1" t="s">
        <v>1634</v>
      </c>
      <c r="D3881" s="1" t="s">
        <v>2606</v>
      </c>
      <c r="E3881" s="1" t="s">
        <v>2610</v>
      </c>
      <c r="F3881" s="3">
        <v>0</v>
      </c>
      <c r="G3881" s="8" t="s">
        <v>3895</v>
      </c>
      <c r="H3881" s="8" t="s">
        <v>5159</v>
      </c>
      <c r="I3881" s="3">
        <v>28</v>
      </c>
      <c r="J3881" s="3" t="s">
        <v>6290</v>
      </c>
      <c r="K3881" s="17" t="str">
        <f>HYPERLINK("http://ictvonline.org/taxonomyHistory.asp?taxnode_id=20174269","ICTVonline=20174269")</f>
        <v>ICTVonline=20174269</v>
      </c>
      <c r="L3881" s="3">
        <v>3880</v>
      </c>
    </row>
    <row r="3882" spans="1:12" x14ac:dyDescent="0.15">
      <c r="A3882" s="1" t="s">
        <v>908</v>
      </c>
      <c r="B3882" s="1" t="s">
        <v>1937</v>
      </c>
      <c r="C3882" s="1" t="s">
        <v>1634</v>
      </c>
      <c r="D3882" s="1" t="s">
        <v>2606</v>
      </c>
      <c r="E3882" s="1" t="s">
        <v>2611</v>
      </c>
      <c r="F3882" s="3">
        <v>0</v>
      </c>
      <c r="G3882" s="8" t="s">
        <v>3895</v>
      </c>
      <c r="H3882" s="8" t="s">
        <v>5159</v>
      </c>
      <c r="I3882" s="3">
        <v>28</v>
      </c>
      <c r="J3882" s="3" t="s">
        <v>6290</v>
      </c>
      <c r="K3882" s="17" t="str">
        <f>HYPERLINK("http://ictvonline.org/taxonomyHistory.asp?taxnode_id=20174270","ICTVonline=20174270")</f>
        <v>ICTVonline=20174270</v>
      </c>
      <c r="L3882" s="3">
        <v>3881</v>
      </c>
    </row>
    <row r="3883" spans="1:12" x14ac:dyDescent="0.15">
      <c r="A3883" s="1" t="s">
        <v>908</v>
      </c>
      <c r="B3883" s="1" t="s">
        <v>1937</v>
      </c>
      <c r="C3883" s="1" t="s">
        <v>1634</v>
      </c>
      <c r="D3883" s="1" t="s">
        <v>2606</v>
      </c>
      <c r="E3883" s="1" t="s">
        <v>2612</v>
      </c>
      <c r="F3883" s="3">
        <v>0</v>
      </c>
      <c r="G3883" s="8" t="s">
        <v>3895</v>
      </c>
      <c r="H3883" s="8" t="s">
        <v>5159</v>
      </c>
      <c r="I3883" s="3">
        <v>28</v>
      </c>
      <c r="J3883" s="3" t="s">
        <v>6290</v>
      </c>
      <c r="K3883" s="17" t="str">
        <f>HYPERLINK("http://ictvonline.org/taxonomyHistory.asp?taxnode_id=20174271","ICTVonline=20174271")</f>
        <v>ICTVonline=20174271</v>
      </c>
      <c r="L3883" s="3">
        <v>3882</v>
      </c>
    </row>
    <row r="3884" spans="1:12" x14ac:dyDescent="0.15">
      <c r="A3884" s="1" t="s">
        <v>908</v>
      </c>
      <c r="B3884" s="1" t="s">
        <v>1937</v>
      </c>
      <c r="C3884" s="1" t="s">
        <v>1634</v>
      </c>
      <c r="D3884" s="1" t="s">
        <v>2613</v>
      </c>
      <c r="E3884" s="1" t="s">
        <v>2614</v>
      </c>
      <c r="F3884" s="3">
        <v>0</v>
      </c>
      <c r="G3884" s="8" t="s">
        <v>3895</v>
      </c>
      <c r="H3884" s="8" t="s">
        <v>5159</v>
      </c>
      <c r="I3884" s="3">
        <v>28</v>
      </c>
      <c r="J3884" s="3" t="s">
        <v>6290</v>
      </c>
      <c r="K3884" s="17" t="str">
        <f>HYPERLINK("http://ictvonline.org/taxonomyHistory.asp?taxnode_id=20174273","ICTVonline=20174273")</f>
        <v>ICTVonline=20174273</v>
      </c>
      <c r="L3884" s="3">
        <v>3883</v>
      </c>
    </row>
    <row r="3885" spans="1:12" x14ac:dyDescent="0.15">
      <c r="A3885" s="1" t="s">
        <v>908</v>
      </c>
      <c r="B3885" s="1" t="s">
        <v>1937</v>
      </c>
      <c r="C3885" s="1" t="s">
        <v>1634</v>
      </c>
      <c r="D3885" s="1" t="s">
        <v>2613</v>
      </c>
      <c r="E3885" s="1" t="s">
        <v>6304</v>
      </c>
      <c r="F3885" s="3">
        <v>0</v>
      </c>
      <c r="G3885" s="8" t="s">
        <v>3895</v>
      </c>
      <c r="H3885" s="8" t="s">
        <v>5159</v>
      </c>
      <c r="I3885" s="3">
        <v>32</v>
      </c>
      <c r="J3885" s="3" t="s">
        <v>6305</v>
      </c>
      <c r="K3885" s="17" t="str">
        <f>HYPERLINK("http://ictvonline.org/taxonomyHistory.asp?taxnode_id=20175898","ICTVonline=20175898")</f>
        <v>ICTVonline=20175898</v>
      </c>
      <c r="L3885" s="3">
        <v>3884</v>
      </c>
    </row>
    <row r="3886" spans="1:12" x14ac:dyDescent="0.15">
      <c r="A3886" s="1" t="s">
        <v>908</v>
      </c>
      <c r="B3886" s="1" t="s">
        <v>1937</v>
      </c>
      <c r="C3886" s="1" t="s">
        <v>1634</v>
      </c>
      <c r="D3886" s="1" t="s">
        <v>2613</v>
      </c>
      <c r="E3886" s="1" t="s">
        <v>6306</v>
      </c>
      <c r="F3886" s="3">
        <v>0</v>
      </c>
      <c r="G3886" s="8" t="s">
        <v>3895</v>
      </c>
      <c r="H3886" s="8" t="s">
        <v>5159</v>
      </c>
      <c r="I3886" s="3">
        <v>32</v>
      </c>
      <c r="J3886" s="3" t="s">
        <v>6305</v>
      </c>
      <c r="K3886" s="17" t="str">
        <f>HYPERLINK("http://ictvonline.org/taxonomyHistory.asp?taxnode_id=20175899","ICTVonline=20175899")</f>
        <v>ICTVonline=20175899</v>
      </c>
      <c r="L3886" s="3">
        <v>3885</v>
      </c>
    </row>
    <row r="3887" spans="1:12" x14ac:dyDescent="0.15">
      <c r="A3887" s="1" t="s">
        <v>908</v>
      </c>
      <c r="B3887" s="1" t="s">
        <v>1937</v>
      </c>
      <c r="C3887" s="1" t="s">
        <v>1634</v>
      </c>
      <c r="D3887" s="1" t="s">
        <v>2613</v>
      </c>
      <c r="E3887" s="1" t="s">
        <v>2615</v>
      </c>
      <c r="F3887" s="3">
        <v>0</v>
      </c>
      <c r="G3887" s="8" t="s">
        <v>3895</v>
      </c>
      <c r="H3887" s="8" t="s">
        <v>5159</v>
      </c>
      <c r="I3887" s="3">
        <v>28</v>
      </c>
      <c r="J3887" s="3" t="s">
        <v>6290</v>
      </c>
      <c r="K3887" s="17" t="str">
        <f>HYPERLINK("http://ictvonline.org/taxonomyHistory.asp?taxnode_id=20174274","ICTVonline=20174274")</f>
        <v>ICTVonline=20174274</v>
      </c>
      <c r="L3887" s="3">
        <v>3886</v>
      </c>
    </row>
    <row r="3888" spans="1:12" x14ac:dyDescent="0.15">
      <c r="A3888" s="1" t="s">
        <v>908</v>
      </c>
      <c r="B3888" s="1" t="s">
        <v>1937</v>
      </c>
      <c r="C3888" s="1" t="s">
        <v>1634</v>
      </c>
      <c r="D3888" s="1" t="s">
        <v>2613</v>
      </c>
      <c r="E3888" s="1" t="s">
        <v>6307</v>
      </c>
      <c r="F3888" s="3">
        <v>0</v>
      </c>
      <c r="G3888" s="8" t="s">
        <v>3895</v>
      </c>
      <c r="H3888" s="8" t="s">
        <v>5159</v>
      </c>
      <c r="I3888" s="3">
        <v>32</v>
      </c>
      <c r="J3888" s="3" t="s">
        <v>6305</v>
      </c>
      <c r="K3888" s="17" t="str">
        <f>HYPERLINK("http://ictvonline.org/taxonomyHistory.asp?taxnode_id=20175900","ICTVonline=20175900")</f>
        <v>ICTVonline=20175900</v>
      </c>
      <c r="L3888" s="3">
        <v>3887</v>
      </c>
    </row>
    <row r="3889" spans="1:12" x14ac:dyDescent="0.15">
      <c r="A3889" s="1" t="s">
        <v>908</v>
      </c>
      <c r="B3889" s="1" t="s">
        <v>1937</v>
      </c>
      <c r="C3889" s="1" t="s">
        <v>1634</v>
      </c>
      <c r="D3889" s="1" t="s">
        <v>2613</v>
      </c>
      <c r="E3889" s="1" t="s">
        <v>6308</v>
      </c>
      <c r="F3889" s="3">
        <v>0</v>
      </c>
      <c r="G3889" s="8" t="s">
        <v>3895</v>
      </c>
      <c r="H3889" s="8" t="s">
        <v>5159</v>
      </c>
      <c r="I3889" s="3">
        <v>32</v>
      </c>
      <c r="J3889" s="3" t="s">
        <v>6305</v>
      </c>
      <c r="K3889" s="17" t="str">
        <f>HYPERLINK("http://ictvonline.org/taxonomyHistory.asp?taxnode_id=20175901","ICTVonline=20175901")</f>
        <v>ICTVonline=20175901</v>
      </c>
      <c r="L3889" s="3">
        <v>3888</v>
      </c>
    </row>
    <row r="3890" spans="1:12" x14ac:dyDescent="0.15">
      <c r="A3890" s="1" t="s">
        <v>908</v>
      </c>
      <c r="B3890" s="1" t="s">
        <v>1937</v>
      </c>
      <c r="C3890" s="1" t="s">
        <v>1634</v>
      </c>
      <c r="D3890" s="1" t="s">
        <v>2613</v>
      </c>
      <c r="E3890" s="1" t="s">
        <v>2616</v>
      </c>
      <c r="F3890" s="3">
        <v>1</v>
      </c>
      <c r="G3890" s="8" t="s">
        <v>3895</v>
      </c>
      <c r="H3890" s="8" t="s">
        <v>5159</v>
      </c>
      <c r="I3890" s="3">
        <v>28</v>
      </c>
      <c r="J3890" s="3" t="s">
        <v>6290</v>
      </c>
      <c r="K3890" s="17" t="str">
        <f>HYPERLINK("http://ictvonline.org/taxonomyHistory.asp?taxnode_id=20174275","ICTVonline=20174275")</f>
        <v>ICTVonline=20174275</v>
      </c>
      <c r="L3890" s="3">
        <v>3889</v>
      </c>
    </row>
    <row r="3891" spans="1:12" x14ac:dyDescent="0.15">
      <c r="A3891" s="1" t="s">
        <v>908</v>
      </c>
      <c r="B3891" s="1" t="s">
        <v>1937</v>
      </c>
      <c r="C3891" s="1" t="s">
        <v>1634</v>
      </c>
      <c r="D3891" s="1" t="s">
        <v>2613</v>
      </c>
      <c r="E3891" s="1" t="s">
        <v>2617</v>
      </c>
      <c r="F3891" s="3">
        <v>0</v>
      </c>
      <c r="G3891" s="8" t="s">
        <v>3895</v>
      </c>
      <c r="H3891" s="8" t="s">
        <v>5159</v>
      </c>
      <c r="I3891" s="3">
        <v>28</v>
      </c>
      <c r="J3891" s="3" t="s">
        <v>6290</v>
      </c>
      <c r="K3891" s="17" t="str">
        <f>HYPERLINK("http://ictvonline.org/taxonomyHistory.asp?taxnode_id=20174276","ICTVonline=20174276")</f>
        <v>ICTVonline=20174276</v>
      </c>
      <c r="L3891" s="3">
        <v>3890</v>
      </c>
    </row>
    <row r="3892" spans="1:12" x14ac:dyDescent="0.15">
      <c r="A3892" s="1" t="s">
        <v>908</v>
      </c>
      <c r="B3892" s="1" t="s">
        <v>1937</v>
      </c>
      <c r="C3892" s="1" t="s">
        <v>1634</v>
      </c>
      <c r="D3892" s="1" t="s">
        <v>2613</v>
      </c>
      <c r="E3892" s="1" t="s">
        <v>6309</v>
      </c>
      <c r="F3892" s="3">
        <v>0</v>
      </c>
      <c r="G3892" s="8" t="s">
        <v>3895</v>
      </c>
      <c r="H3892" s="8" t="s">
        <v>5159</v>
      </c>
      <c r="I3892" s="3">
        <v>32</v>
      </c>
      <c r="J3892" s="3" t="s">
        <v>6305</v>
      </c>
      <c r="K3892" s="17" t="str">
        <f>HYPERLINK("http://ictvonline.org/taxonomyHistory.asp?taxnode_id=20175902","ICTVonline=20175902")</f>
        <v>ICTVonline=20175902</v>
      </c>
      <c r="L3892" s="3">
        <v>3891</v>
      </c>
    </row>
    <row r="3893" spans="1:12" x14ac:dyDescent="0.15">
      <c r="A3893" s="1" t="s">
        <v>908</v>
      </c>
      <c r="B3893" s="1" t="s">
        <v>1937</v>
      </c>
      <c r="C3893" s="1" t="s">
        <v>1634</v>
      </c>
      <c r="D3893" s="1" t="s">
        <v>2613</v>
      </c>
      <c r="E3893" s="1" t="s">
        <v>2618</v>
      </c>
      <c r="F3893" s="3">
        <v>0</v>
      </c>
      <c r="G3893" s="8" t="s">
        <v>3895</v>
      </c>
      <c r="H3893" s="8" t="s">
        <v>5159</v>
      </c>
      <c r="I3893" s="3">
        <v>28</v>
      </c>
      <c r="J3893" s="3" t="s">
        <v>6290</v>
      </c>
      <c r="K3893" s="17" t="str">
        <f>HYPERLINK("http://ictvonline.org/taxonomyHistory.asp?taxnode_id=20174277","ICTVonline=20174277")</f>
        <v>ICTVonline=20174277</v>
      </c>
      <c r="L3893" s="3">
        <v>3892</v>
      </c>
    </row>
    <row r="3894" spans="1:12" x14ac:dyDescent="0.15">
      <c r="A3894" s="1" t="s">
        <v>908</v>
      </c>
      <c r="B3894" s="1" t="s">
        <v>1937</v>
      </c>
      <c r="C3894" s="1" t="s">
        <v>1634</v>
      </c>
      <c r="D3894" s="1" t="s">
        <v>2613</v>
      </c>
      <c r="E3894" s="1" t="s">
        <v>6310</v>
      </c>
      <c r="F3894" s="3">
        <v>0</v>
      </c>
      <c r="G3894" s="8" t="s">
        <v>3895</v>
      </c>
      <c r="H3894" s="8" t="s">
        <v>5159</v>
      </c>
      <c r="I3894" s="3">
        <v>32</v>
      </c>
      <c r="J3894" s="3" t="s">
        <v>6305</v>
      </c>
      <c r="K3894" s="17" t="str">
        <f>HYPERLINK("http://ictvonline.org/taxonomyHistory.asp?taxnode_id=20175903","ICTVonline=20175903")</f>
        <v>ICTVonline=20175903</v>
      </c>
      <c r="L3894" s="3">
        <v>3893</v>
      </c>
    </row>
    <row r="3895" spans="1:12" x14ac:dyDescent="0.15">
      <c r="A3895" s="1" t="s">
        <v>908</v>
      </c>
      <c r="B3895" s="1" t="s">
        <v>1937</v>
      </c>
      <c r="C3895" s="1" t="s">
        <v>1634</v>
      </c>
      <c r="D3895" s="1" t="s">
        <v>2619</v>
      </c>
      <c r="E3895" s="1" t="s">
        <v>2620</v>
      </c>
      <c r="F3895" s="3">
        <v>0</v>
      </c>
      <c r="G3895" s="8" t="s">
        <v>3895</v>
      </c>
      <c r="H3895" s="8" t="s">
        <v>5159</v>
      </c>
      <c r="I3895" s="3">
        <v>28</v>
      </c>
      <c r="J3895" s="3" t="s">
        <v>6290</v>
      </c>
      <c r="K3895" s="17" t="str">
        <f>HYPERLINK("http://ictvonline.org/taxonomyHistory.asp?taxnode_id=20174279","ICTVonline=20174279")</f>
        <v>ICTVonline=20174279</v>
      </c>
      <c r="L3895" s="3">
        <v>3894</v>
      </c>
    </row>
    <row r="3896" spans="1:12" x14ac:dyDescent="0.15">
      <c r="A3896" s="1" t="s">
        <v>908</v>
      </c>
      <c r="B3896" s="1" t="s">
        <v>1937</v>
      </c>
      <c r="C3896" s="1" t="s">
        <v>1634</v>
      </c>
      <c r="D3896" s="1" t="s">
        <v>2619</v>
      </c>
      <c r="E3896" s="1" t="s">
        <v>2621</v>
      </c>
      <c r="F3896" s="3">
        <v>1</v>
      </c>
      <c r="G3896" s="8" t="s">
        <v>3895</v>
      </c>
      <c r="H3896" s="8" t="s">
        <v>5159</v>
      </c>
      <c r="I3896" s="3">
        <v>28</v>
      </c>
      <c r="J3896" s="3" t="s">
        <v>6290</v>
      </c>
      <c r="K3896" s="17" t="str">
        <f>HYPERLINK("http://ictvonline.org/taxonomyHistory.asp?taxnode_id=20174280","ICTVonline=20174280")</f>
        <v>ICTVonline=20174280</v>
      </c>
      <c r="L3896" s="3">
        <v>3895</v>
      </c>
    </row>
    <row r="3897" spans="1:12" x14ac:dyDescent="0.15">
      <c r="A3897" s="1" t="s">
        <v>908</v>
      </c>
      <c r="B3897" s="1" t="s">
        <v>1937</v>
      </c>
      <c r="C3897" s="1" t="s">
        <v>1634</v>
      </c>
      <c r="D3897" s="1" t="s">
        <v>2619</v>
      </c>
      <c r="E3897" s="1" t="s">
        <v>2622</v>
      </c>
      <c r="F3897" s="3">
        <v>0</v>
      </c>
      <c r="G3897" s="8" t="s">
        <v>3895</v>
      </c>
      <c r="H3897" s="8" t="s">
        <v>5159</v>
      </c>
      <c r="I3897" s="3">
        <v>28</v>
      </c>
      <c r="J3897" s="3" t="s">
        <v>6290</v>
      </c>
      <c r="K3897" s="17" t="str">
        <f>HYPERLINK("http://ictvonline.org/taxonomyHistory.asp?taxnode_id=20174281","ICTVonline=20174281")</f>
        <v>ICTVonline=20174281</v>
      </c>
      <c r="L3897" s="3">
        <v>3896</v>
      </c>
    </row>
    <row r="3898" spans="1:12" x14ac:dyDescent="0.15">
      <c r="A3898" s="1" t="s">
        <v>908</v>
      </c>
      <c r="B3898" s="1" t="s">
        <v>1937</v>
      </c>
      <c r="C3898" s="1" t="s">
        <v>1634</v>
      </c>
      <c r="D3898" s="1" t="s">
        <v>2619</v>
      </c>
      <c r="E3898" s="1" t="s">
        <v>2623</v>
      </c>
      <c r="F3898" s="3">
        <v>0</v>
      </c>
      <c r="G3898" s="8" t="s">
        <v>3895</v>
      </c>
      <c r="H3898" s="8" t="s">
        <v>5159</v>
      </c>
      <c r="I3898" s="3">
        <v>28</v>
      </c>
      <c r="J3898" s="3" t="s">
        <v>6290</v>
      </c>
      <c r="K3898" s="17" t="str">
        <f>HYPERLINK("http://ictvonline.org/taxonomyHistory.asp?taxnode_id=20174282","ICTVonline=20174282")</f>
        <v>ICTVonline=20174282</v>
      </c>
      <c r="L3898" s="3">
        <v>3897</v>
      </c>
    </row>
    <row r="3899" spans="1:12" x14ac:dyDescent="0.15">
      <c r="A3899" s="1" t="s">
        <v>908</v>
      </c>
      <c r="B3899" s="1" t="s">
        <v>1937</v>
      </c>
      <c r="C3899" s="1" t="s">
        <v>1634</v>
      </c>
      <c r="D3899" s="1" t="s">
        <v>2619</v>
      </c>
      <c r="E3899" s="1" t="s">
        <v>2624</v>
      </c>
      <c r="F3899" s="3">
        <v>0</v>
      </c>
      <c r="G3899" s="8" t="s">
        <v>3895</v>
      </c>
      <c r="H3899" s="8" t="s">
        <v>5159</v>
      </c>
      <c r="I3899" s="3">
        <v>28</v>
      </c>
      <c r="J3899" s="3" t="s">
        <v>6290</v>
      </c>
      <c r="K3899" s="17" t="str">
        <f>HYPERLINK("http://ictvonline.org/taxonomyHistory.asp?taxnode_id=20174283","ICTVonline=20174283")</f>
        <v>ICTVonline=20174283</v>
      </c>
      <c r="L3899" s="3">
        <v>3898</v>
      </c>
    </row>
    <row r="3900" spans="1:12" x14ac:dyDescent="0.15">
      <c r="A3900" s="1" t="s">
        <v>908</v>
      </c>
      <c r="B3900" s="1" t="s">
        <v>1937</v>
      </c>
      <c r="C3900" s="1" t="s">
        <v>1634</v>
      </c>
      <c r="D3900" s="1" t="s">
        <v>2619</v>
      </c>
      <c r="E3900" s="1" t="s">
        <v>2625</v>
      </c>
      <c r="F3900" s="3">
        <v>0</v>
      </c>
      <c r="G3900" s="8" t="s">
        <v>3895</v>
      </c>
      <c r="H3900" s="8" t="s">
        <v>5159</v>
      </c>
      <c r="I3900" s="3">
        <v>28</v>
      </c>
      <c r="J3900" s="3" t="s">
        <v>6290</v>
      </c>
      <c r="K3900" s="17" t="str">
        <f>HYPERLINK("http://ictvonline.org/taxonomyHistory.asp?taxnode_id=20174284","ICTVonline=20174284")</f>
        <v>ICTVonline=20174284</v>
      </c>
      <c r="L3900" s="3">
        <v>3899</v>
      </c>
    </row>
    <row r="3901" spans="1:12" x14ac:dyDescent="0.15">
      <c r="A3901" s="1" t="s">
        <v>908</v>
      </c>
      <c r="B3901" s="1" t="s">
        <v>190</v>
      </c>
      <c r="D3901" s="1" t="s">
        <v>191</v>
      </c>
      <c r="E3901" s="1" t="s">
        <v>1874</v>
      </c>
      <c r="F3901" s="3">
        <v>0</v>
      </c>
      <c r="G3901" s="8" t="s">
        <v>2773</v>
      </c>
      <c r="H3901" s="8" t="s">
        <v>5161</v>
      </c>
      <c r="I3901" s="3">
        <v>26</v>
      </c>
      <c r="J3901" s="3" t="s">
        <v>5934</v>
      </c>
      <c r="K3901" s="17" t="str">
        <f>HYPERLINK("http://ictvonline.org/taxonomyHistory.asp?taxnode_id=20174288","ICTVonline=20174288")</f>
        <v>ICTVonline=20174288</v>
      </c>
      <c r="L3901" s="3">
        <v>3900</v>
      </c>
    </row>
    <row r="3902" spans="1:12" x14ac:dyDescent="0.15">
      <c r="A3902" s="1" t="s">
        <v>908</v>
      </c>
      <c r="B3902" s="1" t="s">
        <v>190</v>
      </c>
      <c r="D3902" s="1" t="s">
        <v>191</v>
      </c>
      <c r="E3902" s="1" t="s">
        <v>1878</v>
      </c>
      <c r="F3902" s="3">
        <v>1</v>
      </c>
      <c r="G3902" s="8" t="s">
        <v>2773</v>
      </c>
      <c r="H3902" s="8" t="s">
        <v>5165</v>
      </c>
      <c r="I3902" s="3">
        <v>26</v>
      </c>
      <c r="J3902" s="3" t="s">
        <v>5934</v>
      </c>
      <c r="K3902" s="17" t="str">
        <f>HYPERLINK("http://ictvonline.org/taxonomyHistory.asp?taxnode_id=20174289","ICTVonline=20174289")</f>
        <v>ICTVonline=20174289</v>
      </c>
      <c r="L3902" s="3">
        <v>3901</v>
      </c>
    </row>
    <row r="3903" spans="1:12" x14ac:dyDescent="0.15">
      <c r="A3903" s="1" t="s">
        <v>908</v>
      </c>
      <c r="B3903" s="1" t="s">
        <v>1360</v>
      </c>
      <c r="D3903" s="1" t="s">
        <v>1361</v>
      </c>
      <c r="E3903" s="1" t="s">
        <v>192</v>
      </c>
      <c r="F3903" s="3">
        <v>0</v>
      </c>
      <c r="G3903" s="8" t="s">
        <v>2771</v>
      </c>
      <c r="H3903" s="8" t="s">
        <v>5159</v>
      </c>
      <c r="I3903" s="3">
        <v>26</v>
      </c>
      <c r="J3903" s="3" t="s">
        <v>6311</v>
      </c>
      <c r="K3903" s="17" t="str">
        <f>HYPERLINK("http://ictvonline.org/taxonomyHistory.asp?taxnode_id=20174293","ICTVonline=20174293")</f>
        <v>ICTVonline=20174293</v>
      </c>
      <c r="L3903" s="3">
        <v>3902</v>
      </c>
    </row>
    <row r="3904" spans="1:12" x14ac:dyDescent="0.15">
      <c r="A3904" s="1" t="s">
        <v>908</v>
      </c>
      <c r="B3904" s="1" t="s">
        <v>1360</v>
      </c>
      <c r="D3904" s="1" t="s">
        <v>1361</v>
      </c>
      <c r="E3904" s="1" t="s">
        <v>1362</v>
      </c>
      <c r="F3904" s="3">
        <v>0</v>
      </c>
      <c r="G3904" s="8" t="s">
        <v>2771</v>
      </c>
      <c r="H3904" s="8" t="s">
        <v>5161</v>
      </c>
      <c r="I3904" s="3">
        <v>17</v>
      </c>
      <c r="J3904" s="3" t="s">
        <v>5970</v>
      </c>
      <c r="K3904" s="17" t="str">
        <f>HYPERLINK("http://ictvonline.org/taxonomyHistory.asp?taxnode_id=20174294","ICTVonline=20174294")</f>
        <v>ICTVonline=20174294</v>
      </c>
      <c r="L3904" s="3">
        <v>3903</v>
      </c>
    </row>
    <row r="3905" spans="1:12" x14ac:dyDescent="0.15">
      <c r="A3905" s="1" t="s">
        <v>908</v>
      </c>
      <c r="B3905" s="1" t="s">
        <v>1360</v>
      </c>
      <c r="D3905" s="1" t="s">
        <v>1361</v>
      </c>
      <c r="E3905" s="1" t="s">
        <v>1363</v>
      </c>
      <c r="F3905" s="3">
        <v>1</v>
      </c>
      <c r="G3905" s="8" t="s">
        <v>2771</v>
      </c>
      <c r="H3905" s="8" t="s">
        <v>5161</v>
      </c>
      <c r="I3905" s="3">
        <v>17</v>
      </c>
      <c r="J3905" s="3" t="s">
        <v>5970</v>
      </c>
      <c r="K3905" s="17" t="str">
        <f>HYPERLINK("http://ictvonline.org/taxonomyHistory.asp?taxnode_id=20174295","ICTVonline=20174295")</f>
        <v>ICTVonline=20174295</v>
      </c>
      <c r="L3905" s="3">
        <v>3904</v>
      </c>
    </row>
    <row r="3906" spans="1:12" x14ac:dyDescent="0.15">
      <c r="A3906" s="1" t="s">
        <v>908</v>
      </c>
      <c r="B3906" s="1" t="s">
        <v>1360</v>
      </c>
      <c r="D3906" s="1" t="s">
        <v>1361</v>
      </c>
      <c r="E3906" s="1" t="s">
        <v>1364</v>
      </c>
      <c r="F3906" s="3">
        <v>0</v>
      </c>
      <c r="G3906" s="8" t="s">
        <v>2771</v>
      </c>
      <c r="H3906" s="8" t="s">
        <v>5161</v>
      </c>
      <c r="I3906" s="3">
        <v>17</v>
      </c>
      <c r="J3906" s="3" t="s">
        <v>5970</v>
      </c>
      <c r="K3906" s="17" t="str">
        <f>HYPERLINK("http://ictvonline.org/taxonomyHistory.asp?taxnode_id=20174296","ICTVonline=20174296")</f>
        <v>ICTVonline=20174296</v>
      </c>
      <c r="L3906" s="3">
        <v>3905</v>
      </c>
    </row>
    <row r="3907" spans="1:12" x14ac:dyDescent="0.15">
      <c r="A3907" s="1" t="s">
        <v>908</v>
      </c>
      <c r="B3907" s="1" t="s">
        <v>1360</v>
      </c>
      <c r="D3907" s="1" t="s">
        <v>1361</v>
      </c>
      <c r="E3907" s="1" t="s">
        <v>1365</v>
      </c>
      <c r="F3907" s="3">
        <v>0</v>
      </c>
      <c r="G3907" s="8" t="s">
        <v>2771</v>
      </c>
      <c r="H3907" s="8" t="s">
        <v>5161</v>
      </c>
      <c r="I3907" s="3">
        <v>17</v>
      </c>
      <c r="J3907" s="3" t="s">
        <v>5970</v>
      </c>
      <c r="K3907" s="17" t="str">
        <f>HYPERLINK("http://ictvonline.org/taxonomyHistory.asp?taxnode_id=20174297","ICTVonline=20174297")</f>
        <v>ICTVonline=20174297</v>
      </c>
      <c r="L3907" s="3">
        <v>3906</v>
      </c>
    </row>
    <row r="3908" spans="1:12" x14ac:dyDescent="0.15">
      <c r="A3908" s="1" t="s">
        <v>908</v>
      </c>
      <c r="B3908" s="1" t="s">
        <v>1360</v>
      </c>
      <c r="D3908" s="1" t="s">
        <v>1361</v>
      </c>
      <c r="E3908" s="1" t="s">
        <v>1002</v>
      </c>
      <c r="F3908" s="3">
        <v>0</v>
      </c>
      <c r="G3908" s="8" t="s">
        <v>2771</v>
      </c>
      <c r="H3908" s="8" t="s">
        <v>5161</v>
      </c>
      <c r="I3908" s="3">
        <v>17</v>
      </c>
      <c r="J3908" s="3" t="s">
        <v>5970</v>
      </c>
      <c r="K3908" s="17" t="str">
        <f>HYPERLINK("http://ictvonline.org/taxonomyHistory.asp?taxnode_id=20174298","ICTVonline=20174298")</f>
        <v>ICTVonline=20174298</v>
      </c>
      <c r="L3908" s="3">
        <v>3907</v>
      </c>
    </row>
    <row r="3909" spans="1:12" x14ac:dyDescent="0.15">
      <c r="A3909" s="1" t="s">
        <v>908</v>
      </c>
      <c r="B3909" s="1" t="s">
        <v>1360</v>
      </c>
      <c r="D3909" s="1" t="s">
        <v>1361</v>
      </c>
      <c r="E3909" s="1" t="s">
        <v>1003</v>
      </c>
      <c r="F3909" s="3">
        <v>0</v>
      </c>
      <c r="G3909" s="8" t="s">
        <v>2771</v>
      </c>
      <c r="H3909" s="8" t="s">
        <v>5161</v>
      </c>
      <c r="I3909" s="3">
        <v>17</v>
      </c>
      <c r="J3909" s="3" t="s">
        <v>5970</v>
      </c>
      <c r="K3909" s="17" t="str">
        <f>HYPERLINK("http://ictvonline.org/taxonomyHistory.asp?taxnode_id=20174299","ICTVonline=20174299")</f>
        <v>ICTVonline=20174299</v>
      </c>
      <c r="L3909" s="3">
        <v>3908</v>
      </c>
    </row>
    <row r="3910" spans="1:12" x14ac:dyDescent="0.15">
      <c r="A3910" s="1" t="s">
        <v>908</v>
      </c>
      <c r="B3910" s="1" t="s">
        <v>1360</v>
      </c>
      <c r="D3910" s="1" t="s">
        <v>1361</v>
      </c>
      <c r="E3910" s="1" t="s">
        <v>657</v>
      </c>
      <c r="F3910" s="3">
        <v>0</v>
      </c>
      <c r="G3910" s="8" t="s">
        <v>2771</v>
      </c>
      <c r="H3910" s="8" t="s">
        <v>5161</v>
      </c>
      <c r="I3910" s="3">
        <v>17</v>
      </c>
      <c r="J3910" s="3" t="s">
        <v>5970</v>
      </c>
      <c r="K3910" s="17" t="str">
        <f>HYPERLINK("http://ictvonline.org/taxonomyHistory.asp?taxnode_id=20174300","ICTVonline=20174300")</f>
        <v>ICTVonline=20174300</v>
      </c>
      <c r="L3910" s="3">
        <v>3909</v>
      </c>
    </row>
    <row r="3911" spans="1:12" x14ac:dyDescent="0.15">
      <c r="A3911" s="1" t="s">
        <v>908</v>
      </c>
      <c r="B3911" s="1" t="s">
        <v>1360</v>
      </c>
      <c r="D3911" s="1" t="s">
        <v>1361</v>
      </c>
      <c r="E3911" s="1" t="s">
        <v>658</v>
      </c>
      <c r="F3911" s="3">
        <v>0</v>
      </c>
      <c r="G3911" s="8" t="s">
        <v>2771</v>
      </c>
      <c r="H3911" s="8" t="s">
        <v>5161</v>
      </c>
      <c r="I3911" s="3">
        <v>17</v>
      </c>
      <c r="J3911" s="3" t="s">
        <v>5970</v>
      </c>
      <c r="K3911" s="17" t="str">
        <f>HYPERLINK("http://ictvonline.org/taxonomyHistory.asp?taxnode_id=20174301","ICTVonline=20174301")</f>
        <v>ICTVonline=20174301</v>
      </c>
      <c r="L3911" s="3">
        <v>3910</v>
      </c>
    </row>
    <row r="3912" spans="1:12" x14ac:dyDescent="0.15">
      <c r="A3912" s="1" t="s">
        <v>908</v>
      </c>
      <c r="B3912" s="1" t="s">
        <v>1360</v>
      </c>
      <c r="D3912" s="1" t="s">
        <v>1361</v>
      </c>
      <c r="E3912" s="1" t="s">
        <v>659</v>
      </c>
      <c r="F3912" s="3">
        <v>0</v>
      </c>
      <c r="G3912" s="8" t="s">
        <v>2771</v>
      </c>
      <c r="H3912" s="8" t="s">
        <v>5161</v>
      </c>
      <c r="I3912" s="3">
        <v>17</v>
      </c>
      <c r="J3912" s="3" t="s">
        <v>5970</v>
      </c>
      <c r="K3912" s="17" t="str">
        <f>HYPERLINK("http://ictvonline.org/taxonomyHistory.asp?taxnode_id=20174302","ICTVonline=20174302")</f>
        <v>ICTVonline=20174302</v>
      </c>
      <c r="L3912" s="3">
        <v>3911</v>
      </c>
    </row>
    <row r="3913" spans="1:12" x14ac:dyDescent="0.15">
      <c r="A3913" s="1" t="s">
        <v>908</v>
      </c>
      <c r="B3913" s="1" t="s">
        <v>1360</v>
      </c>
      <c r="D3913" s="1" t="s">
        <v>1361</v>
      </c>
      <c r="E3913" s="1" t="s">
        <v>835</v>
      </c>
      <c r="F3913" s="3">
        <v>0</v>
      </c>
      <c r="G3913" s="8" t="s">
        <v>2771</v>
      </c>
      <c r="H3913" s="8" t="s">
        <v>5161</v>
      </c>
      <c r="I3913" s="3">
        <v>17</v>
      </c>
      <c r="J3913" s="3" t="s">
        <v>5970</v>
      </c>
      <c r="K3913" s="17" t="str">
        <f>HYPERLINK("http://ictvonline.org/taxonomyHistory.asp?taxnode_id=20174303","ICTVonline=20174303")</f>
        <v>ICTVonline=20174303</v>
      </c>
      <c r="L3913" s="3">
        <v>3912</v>
      </c>
    </row>
    <row r="3914" spans="1:12" x14ac:dyDescent="0.15">
      <c r="A3914" s="1" t="s">
        <v>908</v>
      </c>
      <c r="B3914" s="1" t="s">
        <v>1360</v>
      </c>
      <c r="D3914" s="1" t="s">
        <v>1361</v>
      </c>
      <c r="E3914" s="1" t="s">
        <v>1870</v>
      </c>
      <c r="F3914" s="3">
        <v>0</v>
      </c>
      <c r="G3914" s="8" t="s">
        <v>2771</v>
      </c>
      <c r="H3914" s="8" t="s">
        <v>5161</v>
      </c>
      <c r="I3914" s="3">
        <v>17</v>
      </c>
      <c r="J3914" s="3" t="s">
        <v>5970</v>
      </c>
      <c r="K3914" s="17" t="str">
        <f>HYPERLINK("http://ictvonline.org/taxonomyHistory.asp?taxnode_id=20174304","ICTVonline=20174304")</f>
        <v>ICTVonline=20174304</v>
      </c>
      <c r="L3914" s="3">
        <v>3913</v>
      </c>
    </row>
    <row r="3915" spans="1:12" x14ac:dyDescent="0.15">
      <c r="A3915" s="1" t="s">
        <v>908</v>
      </c>
      <c r="B3915" s="1" t="s">
        <v>1360</v>
      </c>
      <c r="D3915" s="1" t="s">
        <v>1361</v>
      </c>
      <c r="E3915" s="1" t="s">
        <v>1871</v>
      </c>
      <c r="F3915" s="3">
        <v>0</v>
      </c>
      <c r="G3915" s="8" t="s">
        <v>2771</v>
      </c>
      <c r="H3915" s="8" t="s">
        <v>5161</v>
      </c>
      <c r="I3915" s="3">
        <v>17</v>
      </c>
      <c r="J3915" s="3" t="s">
        <v>5970</v>
      </c>
      <c r="K3915" s="17" t="str">
        <f>HYPERLINK("http://ictvonline.org/taxonomyHistory.asp?taxnode_id=20174305","ICTVonline=20174305")</f>
        <v>ICTVonline=20174305</v>
      </c>
      <c r="L3915" s="3">
        <v>3914</v>
      </c>
    </row>
    <row r="3916" spans="1:12" x14ac:dyDescent="0.15">
      <c r="A3916" s="1" t="s">
        <v>908</v>
      </c>
      <c r="B3916" s="1" t="s">
        <v>1360</v>
      </c>
      <c r="D3916" s="1" t="s">
        <v>1361</v>
      </c>
      <c r="E3916" s="1" t="s">
        <v>1872</v>
      </c>
      <c r="F3916" s="3">
        <v>0</v>
      </c>
      <c r="G3916" s="8" t="s">
        <v>2771</v>
      </c>
      <c r="H3916" s="8" t="s">
        <v>5161</v>
      </c>
      <c r="I3916" s="3">
        <v>17</v>
      </c>
      <c r="J3916" s="3" t="s">
        <v>5970</v>
      </c>
      <c r="K3916" s="17" t="str">
        <f>HYPERLINK("http://ictvonline.org/taxonomyHistory.asp?taxnode_id=20174306","ICTVonline=20174306")</f>
        <v>ICTVonline=20174306</v>
      </c>
      <c r="L3916" s="3">
        <v>3915</v>
      </c>
    </row>
    <row r="3917" spans="1:12" x14ac:dyDescent="0.15">
      <c r="A3917" s="1" t="s">
        <v>908</v>
      </c>
      <c r="B3917" s="1" t="s">
        <v>1360</v>
      </c>
      <c r="D3917" s="1" t="s">
        <v>1361</v>
      </c>
      <c r="E3917" s="1" t="s">
        <v>839</v>
      </c>
      <c r="F3917" s="3">
        <v>0</v>
      </c>
      <c r="G3917" s="8" t="s">
        <v>2771</v>
      </c>
      <c r="H3917" s="8" t="s">
        <v>5161</v>
      </c>
      <c r="I3917" s="3">
        <v>17</v>
      </c>
      <c r="J3917" s="3" t="s">
        <v>5970</v>
      </c>
      <c r="K3917" s="17" t="str">
        <f>HYPERLINK("http://ictvonline.org/taxonomyHistory.asp?taxnode_id=20174307","ICTVonline=20174307")</f>
        <v>ICTVonline=20174307</v>
      </c>
      <c r="L3917" s="3">
        <v>3916</v>
      </c>
    </row>
    <row r="3918" spans="1:12" x14ac:dyDescent="0.15">
      <c r="A3918" s="1" t="s">
        <v>908</v>
      </c>
      <c r="B3918" s="1" t="s">
        <v>1360</v>
      </c>
      <c r="D3918" s="1" t="s">
        <v>1361</v>
      </c>
      <c r="E3918" s="1" t="s">
        <v>840</v>
      </c>
      <c r="F3918" s="3">
        <v>0</v>
      </c>
      <c r="G3918" s="8" t="s">
        <v>2771</v>
      </c>
      <c r="H3918" s="8" t="s">
        <v>5161</v>
      </c>
      <c r="I3918" s="3">
        <v>17</v>
      </c>
      <c r="J3918" s="3" t="s">
        <v>5970</v>
      </c>
      <c r="K3918" s="17" t="str">
        <f>HYPERLINK("http://ictvonline.org/taxonomyHistory.asp?taxnode_id=20174308","ICTVonline=20174308")</f>
        <v>ICTVonline=20174308</v>
      </c>
      <c r="L3918" s="3">
        <v>3917</v>
      </c>
    </row>
    <row r="3919" spans="1:12" x14ac:dyDescent="0.15">
      <c r="A3919" s="1" t="s">
        <v>908</v>
      </c>
      <c r="B3919" s="1" t="s">
        <v>1360</v>
      </c>
      <c r="D3919" s="1" t="s">
        <v>1361</v>
      </c>
      <c r="E3919" s="1" t="s">
        <v>1876</v>
      </c>
      <c r="F3919" s="3">
        <v>0</v>
      </c>
      <c r="G3919" s="8" t="s">
        <v>2771</v>
      </c>
      <c r="H3919" s="8" t="s">
        <v>5161</v>
      </c>
      <c r="I3919" s="3">
        <v>17</v>
      </c>
      <c r="J3919" s="3" t="s">
        <v>5970</v>
      </c>
      <c r="K3919" s="17" t="str">
        <f>HYPERLINK("http://ictvonline.org/taxonomyHistory.asp?taxnode_id=20174309","ICTVonline=20174309")</f>
        <v>ICTVonline=20174309</v>
      </c>
      <c r="L3919" s="3">
        <v>3918</v>
      </c>
    </row>
    <row r="3920" spans="1:12" x14ac:dyDescent="0.15">
      <c r="A3920" s="1" t="s">
        <v>908</v>
      </c>
      <c r="B3920" s="1" t="s">
        <v>1360</v>
      </c>
      <c r="D3920" s="1" t="s">
        <v>1361</v>
      </c>
      <c r="E3920" s="1" t="s">
        <v>836</v>
      </c>
      <c r="F3920" s="3">
        <v>0</v>
      </c>
      <c r="G3920" s="8" t="s">
        <v>2771</v>
      </c>
      <c r="H3920" s="8" t="s">
        <v>5161</v>
      </c>
      <c r="I3920" s="3">
        <v>17</v>
      </c>
      <c r="J3920" s="3" t="s">
        <v>5970</v>
      </c>
      <c r="K3920" s="17" t="str">
        <f>HYPERLINK("http://ictvonline.org/taxonomyHistory.asp?taxnode_id=20174310","ICTVonline=20174310")</f>
        <v>ICTVonline=20174310</v>
      </c>
      <c r="L3920" s="3">
        <v>3919</v>
      </c>
    </row>
    <row r="3921" spans="1:12" x14ac:dyDescent="0.15">
      <c r="A3921" s="1" t="s">
        <v>908</v>
      </c>
      <c r="B3921" s="1" t="s">
        <v>1360</v>
      </c>
      <c r="D3921" s="1" t="s">
        <v>1361</v>
      </c>
      <c r="E3921" s="1" t="s">
        <v>837</v>
      </c>
      <c r="F3921" s="3">
        <v>0</v>
      </c>
      <c r="G3921" s="8" t="s">
        <v>2771</v>
      </c>
      <c r="H3921" s="8" t="s">
        <v>5161</v>
      </c>
      <c r="I3921" s="3">
        <v>17</v>
      </c>
      <c r="J3921" s="3" t="s">
        <v>5970</v>
      </c>
      <c r="K3921" s="17" t="str">
        <f>HYPERLINK("http://ictvonline.org/taxonomyHistory.asp?taxnode_id=20174311","ICTVonline=20174311")</f>
        <v>ICTVonline=20174311</v>
      </c>
      <c r="L3921" s="3">
        <v>3920</v>
      </c>
    </row>
    <row r="3922" spans="1:12" x14ac:dyDescent="0.15">
      <c r="A3922" s="1" t="s">
        <v>908</v>
      </c>
      <c r="B3922" s="1" t="s">
        <v>1360</v>
      </c>
      <c r="D3922" s="1" t="s">
        <v>838</v>
      </c>
      <c r="E3922" s="1" t="s">
        <v>916</v>
      </c>
      <c r="F3922" s="3">
        <v>1</v>
      </c>
      <c r="G3922" s="8" t="s">
        <v>2771</v>
      </c>
      <c r="H3922" s="8" t="s">
        <v>5164</v>
      </c>
      <c r="I3922" s="3">
        <v>22</v>
      </c>
      <c r="J3922" s="3" t="s">
        <v>6312</v>
      </c>
      <c r="K3922" s="17" t="str">
        <f>HYPERLINK("http://ictvonline.org/taxonomyHistory.asp?taxnode_id=20174313","ICTVonline=20174313")</f>
        <v>ICTVonline=20174313</v>
      </c>
      <c r="L3922" s="3">
        <v>3921</v>
      </c>
    </row>
    <row r="3923" spans="1:12" x14ac:dyDescent="0.15">
      <c r="A3923" s="1" t="s">
        <v>908</v>
      </c>
      <c r="B3923" s="1" t="s">
        <v>1360</v>
      </c>
      <c r="D3923" s="1" t="s">
        <v>917</v>
      </c>
      <c r="E3923" s="1" t="s">
        <v>918</v>
      </c>
      <c r="F3923" s="3">
        <v>0</v>
      </c>
      <c r="G3923" s="8" t="s">
        <v>2771</v>
      </c>
      <c r="H3923" s="8" t="s">
        <v>5159</v>
      </c>
      <c r="I3923" s="3">
        <v>18</v>
      </c>
      <c r="J3923" s="3" t="s">
        <v>5597</v>
      </c>
      <c r="K3923" s="17" t="str">
        <f>HYPERLINK("http://ictvonline.org/taxonomyHistory.asp?taxnode_id=20174315","ICTVonline=20174315")</f>
        <v>ICTVonline=20174315</v>
      </c>
      <c r="L3923" s="3">
        <v>3922</v>
      </c>
    </row>
    <row r="3924" spans="1:12" x14ac:dyDescent="0.15">
      <c r="A3924" s="1" t="s">
        <v>908</v>
      </c>
      <c r="B3924" s="1" t="s">
        <v>1360</v>
      </c>
      <c r="D3924" s="1" t="s">
        <v>917</v>
      </c>
      <c r="E3924" s="1" t="s">
        <v>934</v>
      </c>
      <c r="F3924" s="3">
        <v>1</v>
      </c>
      <c r="G3924" s="8" t="s">
        <v>2771</v>
      </c>
      <c r="H3924" s="8" t="s">
        <v>5164</v>
      </c>
      <c r="I3924" s="3">
        <v>17</v>
      </c>
      <c r="J3924" s="3" t="s">
        <v>5970</v>
      </c>
      <c r="K3924" s="17" t="str">
        <f>HYPERLINK("http://ictvonline.org/taxonomyHistory.asp?taxnode_id=20174316","ICTVonline=20174316")</f>
        <v>ICTVonline=20174316</v>
      </c>
      <c r="L3924" s="3">
        <v>3923</v>
      </c>
    </row>
    <row r="3925" spans="1:12" x14ac:dyDescent="0.15">
      <c r="A3925" s="1" t="s">
        <v>908</v>
      </c>
      <c r="B3925" s="1" t="s">
        <v>1360</v>
      </c>
      <c r="D3925" s="1" t="s">
        <v>917</v>
      </c>
      <c r="E3925" s="1" t="s">
        <v>935</v>
      </c>
      <c r="F3925" s="3">
        <v>0</v>
      </c>
      <c r="G3925" s="8" t="s">
        <v>2771</v>
      </c>
      <c r="H3925" s="8" t="s">
        <v>5159</v>
      </c>
      <c r="I3925" s="3">
        <v>18</v>
      </c>
      <c r="J3925" s="3" t="s">
        <v>5597</v>
      </c>
      <c r="K3925" s="17" t="str">
        <f>HYPERLINK("http://ictvonline.org/taxonomyHistory.asp?taxnode_id=20174317","ICTVonline=20174317")</f>
        <v>ICTVonline=20174317</v>
      </c>
      <c r="L3925" s="3">
        <v>3924</v>
      </c>
    </row>
    <row r="3926" spans="1:12" x14ac:dyDescent="0.15">
      <c r="A3926" s="1" t="s">
        <v>908</v>
      </c>
      <c r="B3926" s="1" t="s">
        <v>1360</v>
      </c>
      <c r="D3926" s="1" t="s">
        <v>917</v>
      </c>
      <c r="E3926" s="1" t="s">
        <v>936</v>
      </c>
      <c r="F3926" s="3">
        <v>0</v>
      </c>
      <c r="G3926" s="8" t="s">
        <v>2771</v>
      </c>
      <c r="H3926" s="8" t="s">
        <v>5159</v>
      </c>
      <c r="I3926" s="3">
        <v>18</v>
      </c>
      <c r="J3926" s="3" t="s">
        <v>5597</v>
      </c>
      <c r="K3926" s="17" t="str">
        <f>HYPERLINK("http://ictvonline.org/taxonomyHistory.asp?taxnode_id=20174318","ICTVonline=20174318")</f>
        <v>ICTVonline=20174318</v>
      </c>
      <c r="L3926" s="3">
        <v>3925</v>
      </c>
    </row>
    <row r="3927" spans="1:12" x14ac:dyDescent="0.15">
      <c r="A3927" s="1" t="s">
        <v>908</v>
      </c>
      <c r="B3927" s="1" t="s">
        <v>1360</v>
      </c>
      <c r="D3927" s="1" t="s">
        <v>917</v>
      </c>
      <c r="E3927" s="1" t="s">
        <v>937</v>
      </c>
      <c r="F3927" s="3">
        <v>0</v>
      </c>
      <c r="G3927" s="8" t="s">
        <v>2771</v>
      </c>
      <c r="H3927" s="8" t="s">
        <v>5159</v>
      </c>
      <c r="I3927" s="3">
        <v>18</v>
      </c>
      <c r="J3927" s="3" t="s">
        <v>5597</v>
      </c>
      <c r="K3927" s="17" t="str">
        <f>HYPERLINK("http://ictvonline.org/taxonomyHistory.asp?taxnode_id=20174319","ICTVonline=20174319")</f>
        <v>ICTVonline=20174319</v>
      </c>
      <c r="L3927" s="3">
        <v>3926</v>
      </c>
    </row>
    <row r="3928" spans="1:12" x14ac:dyDescent="0.15">
      <c r="A3928" s="1" t="s">
        <v>908</v>
      </c>
      <c r="B3928" s="1" t="s">
        <v>1360</v>
      </c>
      <c r="D3928" s="1" t="s">
        <v>917</v>
      </c>
      <c r="E3928" s="1" t="s">
        <v>938</v>
      </c>
      <c r="F3928" s="3">
        <v>0</v>
      </c>
      <c r="G3928" s="8" t="s">
        <v>2771</v>
      </c>
      <c r="H3928" s="8" t="s">
        <v>5159</v>
      </c>
      <c r="I3928" s="3">
        <v>18</v>
      </c>
      <c r="J3928" s="3" t="s">
        <v>5597</v>
      </c>
      <c r="K3928" s="17" t="str">
        <f>HYPERLINK("http://ictvonline.org/taxonomyHistory.asp?taxnode_id=20174320","ICTVonline=20174320")</f>
        <v>ICTVonline=20174320</v>
      </c>
      <c r="L3928" s="3">
        <v>3927</v>
      </c>
    </row>
    <row r="3929" spans="1:12" x14ac:dyDescent="0.15">
      <c r="A3929" s="1" t="s">
        <v>908</v>
      </c>
      <c r="B3929" s="1" t="s">
        <v>1360</v>
      </c>
      <c r="D3929" s="1" t="s">
        <v>917</v>
      </c>
      <c r="E3929" s="1" t="s">
        <v>939</v>
      </c>
      <c r="F3929" s="3">
        <v>0</v>
      </c>
      <c r="G3929" s="8" t="s">
        <v>2771</v>
      </c>
      <c r="H3929" s="8" t="s">
        <v>5159</v>
      </c>
      <c r="I3929" s="3">
        <v>18</v>
      </c>
      <c r="J3929" s="3" t="s">
        <v>5597</v>
      </c>
      <c r="K3929" s="17" t="str">
        <f>HYPERLINK("http://ictvonline.org/taxonomyHistory.asp?taxnode_id=20174321","ICTVonline=20174321")</f>
        <v>ICTVonline=20174321</v>
      </c>
      <c r="L3929" s="3">
        <v>3928</v>
      </c>
    </row>
    <row r="3930" spans="1:12" x14ac:dyDescent="0.15">
      <c r="A3930" s="1" t="s">
        <v>908</v>
      </c>
      <c r="B3930" s="1" t="s">
        <v>1360</v>
      </c>
      <c r="D3930" s="1" t="s">
        <v>917</v>
      </c>
      <c r="E3930" s="1" t="s">
        <v>940</v>
      </c>
      <c r="F3930" s="3">
        <v>0</v>
      </c>
      <c r="G3930" s="8" t="s">
        <v>2771</v>
      </c>
      <c r="H3930" s="8" t="s">
        <v>5159</v>
      </c>
      <c r="I3930" s="3">
        <v>18</v>
      </c>
      <c r="J3930" s="3" t="s">
        <v>5597</v>
      </c>
      <c r="K3930" s="17" t="str">
        <f>HYPERLINK("http://ictvonline.org/taxonomyHistory.asp?taxnode_id=20174322","ICTVonline=20174322")</f>
        <v>ICTVonline=20174322</v>
      </c>
      <c r="L3930" s="3">
        <v>3929</v>
      </c>
    </row>
    <row r="3931" spans="1:12" x14ac:dyDescent="0.15">
      <c r="A3931" s="1" t="s">
        <v>908</v>
      </c>
      <c r="B3931" s="1" t="s">
        <v>1360</v>
      </c>
      <c r="D3931" s="1" t="s">
        <v>917</v>
      </c>
      <c r="E3931" s="1" t="s">
        <v>941</v>
      </c>
      <c r="F3931" s="3">
        <v>0</v>
      </c>
      <c r="G3931" s="8" t="s">
        <v>2771</v>
      </c>
      <c r="H3931" s="8" t="s">
        <v>5159</v>
      </c>
      <c r="I3931" s="3">
        <v>22</v>
      </c>
      <c r="J3931" s="3" t="s">
        <v>6313</v>
      </c>
      <c r="K3931" s="17" t="str">
        <f>HYPERLINK("http://ictvonline.org/taxonomyHistory.asp?taxnode_id=20174323","ICTVonline=20174323")</f>
        <v>ICTVonline=20174323</v>
      </c>
      <c r="L3931" s="3">
        <v>3930</v>
      </c>
    </row>
    <row r="3932" spans="1:12" x14ac:dyDescent="0.15">
      <c r="A3932" s="1" t="s">
        <v>908</v>
      </c>
      <c r="B3932" s="1" t="s">
        <v>1360</v>
      </c>
      <c r="D3932" s="1" t="s">
        <v>942</v>
      </c>
      <c r="E3932" s="1" t="s">
        <v>943</v>
      </c>
      <c r="F3932" s="3">
        <v>1</v>
      </c>
      <c r="G3932" s="8" t="s">
        <v>2771</v>
      </c>
      <c r="H3932" s="8" t="s">
        <v>5164</v>
      </c>
      <c r="I3932" s="3">
        <v>17</v>
      </c>
      <c r="J3932" s="3" t="s">
        <v>5970</v>
      </c>
      <c r="K3932" s="17" t="str">
        <f>HYPERLINK("http://ictvonline.org/taxonomyHistory.asp?taxnode_id=20174325","ICTVonline=20174325")</f>
        <v>ICTVonline=20174325</v>
      </c>
      <c r="L3932" s="3">
        <v>3931</v>
      </c>
    </row>
    <row r="3933" spans="1:12" x14ac:dyDescent="0.15">
      <c r="A3933" s="1" t="s">
        <v>908</v>
      </c>
      <c r="B3933" s="1" t="s">
        <v>1360</v>
      </c>
      <c r="D3933" s="1" t="s">
        <v>942</v>
      </c>
      <c r="E3933" s="1" t="s">
        <v>193</v>
      </c>
      <c r="F3933" s="3">
        <v>0</v>
      </c>
      <c r="G3933" s="8" t="s">
        <v>2771</v>
      </c>
      <c r="H3933" s="8" t="s">
        <v>5159</v>
      </c>
      <c r="I3933" s="3">
        <v>26</v>
      </c>
      <c r="J3933" s="3" t="s">
        <v>6314</v>
      </c>
      <c r="K3933" s="17" t="str">
        <f>HYPERLINK("http://ictvonline.org/taxonomyHistory.asp?taxnode_id=20174326","ICTVonline=20174326")</f>
        <v>ICTVonline=20174326</v>
      </c>
      <c r="L3933" s="3">
        <v>3932</v>
      </c>
    </row>
    <row r="3934" spans="1:12" x14ac:dyDescent="0.15">
      <c r="A3934" s="1" t="s">
        <v>908</v>
      </c>
      <c r="B3934" s="1" t="s">
        <v>1360</v>
      </c>
      <c r="D3934" s="1" t="s">
        <v>944</v>
      </c>
      <c r="E3934" s="1" t="s">
        <v>945</v>
      </c>
      <c r="F3934" s="3">
        <v>1</v>
      </c>
      <c r="G3934" s="8" t="s">
        <v>2771</v>
      </c>
      <c r="H3934" s="8" t="s">
        <v>5164</v>
      </c>
      <c r="I3934" s="3">
        <v>17</v>
      </c>
      <c r="J3934" s="3" t="s">
        <v>5970</v>
      </c>
      <c r="K3934" s="17" t="str">
        <f>HYPERLINK("http://ictvonline.org/taxonomyHistory.asp?taxnode_id=20174328","ICTVonline=20174328")</f>
        <v>ICTVonline=20174328</v>
      </c>
      <c r="L3934" s="3">
        <v>3933</v>
      </c>
    </row>
    <row r="3935" spans="1:12" x14ac:dyDescent="0.15">
      <c r="A3935" s="1" t="s">
        <v>908</v>
      </c>
      <c r="B3935" s="1" t="s">
        <v>1360</v>
      </c>
      <c r="D3935" s="1" t="s">
        <v>946</v>
      </c>
      <c r="E3935" s="1" t="s">
        <v>947</v>
      </c>
      <c r="F3935" s="3">
        <v>1</v>
      </c>
      <c r="G3935" s="8" t="s">
        <v>2771</v>
      </c>
      <c r="H3935" s="8" t="s">
        <v>5164</v>
      </c>
      <c r="I3935" s="3">
        <v>22</v>
      </c>
      <c r="J3935" s="3" t="s">
        <v>6315</v>
      </c>
      <c r="K3935" s="17" t="str">
        <f>HYPERLINK("http://ictvonline.org/taxonomyHistory.asp?taxnode_id=20174330","ICTVonline=20174330")</f>
        <v>ICTVonline=20174330</v>
      </c>
      <c r="L3935" s="3">
        <v>3934</v>
      </c>
    </row>
    <row r="3936" spans="1:12" x14ac:dyDescent="0.15">
      <c r="A3936" s="1" t="s">
        <v>908</v>
      </c>
      <c r="B3936" s="1" t="s">
        <v>868</v>
      </c>
      <c r="D3936" s="1" t="s">
        <v>869</v>
      </c>
      <c r="E3936" s="1" t="s">
        <v>870</v>
      </c>
      <c r="F3936" s="3">
        <v>1</v>
      </c>
      <c r="G3936" s="8" t="s">
        <v>2776</v>
      </c>
      <c r="H3936" s="8" t="s">
        <v>5164</v>
      </c>
      <c r="I3936" s="3">
        <v>24</v>
      </c>
      <c r="J3936" s="3" t="s">
        <v>6316</v>
      </c>
      <c r="K3936" s="17" t="str">
        <f>HYPERLINK("http://ictvonline.org/taxonomyHistory.asp?taxnode_id=20174334","ICTVonline=20174334")</f>
        <v>ICTVonline=20174334</v>
      </c>
      <c r="L3936" s="3">
        <v>3935</v>
      </c>
    </row>
    <row r="3937" spans="1:12" x14ac:dyDescent="0.15">
      <c r="A3937" s="1" t="s">
        <v>908</v>
      </c>
      <c r="B3937" s="1" t="s">
        <v>868</v>
      </c>
      <c r="D3937" s="1" t="s">
        <v>869</v>
      </c>
      <c r="E3937" s="1" t="s">
        <v>871</v>
      </c>
      <c r="F3937" s="3">
        <v>0</v>
      </c>
      <c r="G3937" s="8" t="s">
        <v>2776</v>
      </c>
      <c r="H3937" s="8" t="s">
        <v>5159</v>
      </c>
      <c r="I3937" s="3">
        <v>24</v>
      </c>
      <c r="J3937" s="3" t="s">
        <v>6316</v>
      </c>
      <c r="K3937" s="17" t="str">
        <f>HYPERLINK("http://ictvonline.org/taxonomyHistory.asp?taxnode_id=20174335","ICTVonline=20174335")</f>
        <v>ICTVonline=20174335</v>
      </c>
      <c r="L3937" s="3">
        <v>3936</v>
      </c>
    </row>
    <row r="3938" spans="1:12" x14ac:dyDescent="0.15">
      <c r="A3938" s="1" t="s">
        <v>908</v>
      </c>
      <c r="B3938" s="1" t="s">
        <v>952</v>
      </c>
      <c r="D3938" s="1" t="s">
        <v>953</v>
      </c>
      <c r="E3938" s="1" t="s">
        <v>4061</v>
      </c>
      <c r="F3938" s="3">
        <v>1</v>
      </c>
      <c r="G3938" s="8" t="s">
        <v>2771</v>
      </c>
      <c r="H3938" s="8" t="s">
        <v>5162</v>
      </c>
      <c r="I3938" s="3">
        <v>30</v>
      </c>
      <c r="J3938" s="3" t="s">
        <v>5297</v>
      </c>
      <c r="K3938" s="17" t="str">
        <f>HYPERLINK("http://ictvonline.org/taxonomyHistory.asp?taxnode_id=20174339","ICTVonline=20174339")</f>
        <v>ICTVonline=20174339</v>
      </c>
      <c r="L3938" s="3">
        <v>3937</v>
      </c>
    </row>
    <row r="3939" spans="1:12" x14ac:dyDescent="0.15">
      <c r="A3939" s="1" t="s">
        <v>908</v>
      </c>
      <c r="B3939" s="1" t="s">
        <v>4062</v>
      </c>
      <c r="D3939" s="1" t="s">
        <v>4063</v>
      </c>
      <c r="E3939" s="1" t="s">
        <v>5252</v>
      </c>
      <c r="F3939" s="3">
        <v>0</v>
      </c>
      <c r="G3939" s="8" t="s">
        <v>5253</v>
      </c>
      <c r="H3939" s="8" t="s">
        <v>5161</v>
      </c>
      <c r="I3939" s="3">
        <v>31</v>
      </c>
      <c r="J3939" s="3" t="s">
        <v>5173</v>
      </c>
      <c r="K3939" s="17" t="str">
        <f>HYPERLINK("http://ictvonline.org/taxonomyHistory.asp?taxnode_id=20174342","ICTVonline=20174342")</f>
        <v>ICTVonline=20174342</v>
      </c>
      <c r="L3939" s="3">
        <v>3938</v>
      </c>
    </row>
    <row r="3940" spans="1:12" x14ac:dyDescent="0.15">
      <c r="A3940" s="1" t="s">
        <v>908</v>
      </c>
      <c r="B3940" s="1" t="s">
        <v>4062</v>
      </c>
      <c r="D3940" s="1" t="s">
        <v>4063</v>
      </c>
      <c r="E3940" s="1" t="s">
        <v>5254</v>
      </c>
      <c r="F3940" s="3">
        <v>0</v>
      </c>
      <c r="G3940" s="8" t="s">
        <v>5253</v>
      </c>
      <c r="H3940" s="8" t="s">
        <v>5161</v>
      </c>
      <c r="I3940" s="3">
        <v>31</v>
      </c>
      <c r="J3940" s="3" t="s">
        <v>5173</v>
      </c>
      <c r="K3940" s="17" t="str">
        <f>HYPERLINK("http://ictvonline.org/taxonomyHistory.asp?taxnode_id=20174343","ICTVonline=20174343")</f>
        <v>ICTVonline=20174343</v>
      </c>
      <c r="L3940" s="3">
        <v>3939</v>
      </c>
    </row>
    <row r="3941" spans="1:12" x14ac:dyDescent="0.15">
      <c r="A3941" s="1" t="s">
        <v>908</v>
      </c>
      <c r="B3941" s="1" t="s">
        <v>4062</v>
      </c>
      <c r="D3941" s="1" t="s">
        <v>4063</v>
      </c>
      <c r="E3941" s="1" t="s">
        <v>5255</v>
      </c>
      <c r="F3941" s="3">
        <v>1</v>
      </c>
      <c r="G3941" s="8" t="s">
        <v>5253</v>
      </c>
      <c r="H3941" s="8" t="s">
        <v>5161</v>
      </c>
      <c r="I3941" s="3">
        <v>31</v>
      </c>
      <c r="J3941" s="3" t="s">
        <v>5173</v>
      </c>
      <c r="K3941" s="17" t="str">
        <f>HYPERLINK("http://ictvonline.org/taxonomyHistory.asp?taxnode_id=20174344","ICTVonline=20174344")</f>
        <v>ICTVonline=20174344</v>
      </c>
      <c r="L3941" s="3">
        <v>3940</v>
      </c>
    </row>
    <row r="3942" spans="1:12" x14ac:dyDescent="0.15">
      <c r="A3942" s="1" t="s">
        <v>908</v>
      </c>
      <c r="B3942" s="1" t="s">
        <v>4062</v>
      </c>
      <c r="D3942" s="1" t="s">
        <v>4063</v>
      </c>
      <c r="E3942" s="1" t="s">
        <v>5256</v>
      </c>
      <c r="F3942" s="3">
        <v>0</v>
      </c>
      <c r="G3942" s="8" t="s">
        <v>5253</v>
      </c>
      <c r="H3942" s="8" t="s">
        <v>5161</v>
      </c>
      <c r="I3942" s="3">
        <v>31</v>
      </c>
      <c r="J3942" s="3" t="s">
        <v>5173</v>
      </c>
      <c r="K3942" s="17" t="str">
        <f>HYPERLINK("http://ictvonline.org/taxonomyHistory.asp?taxnode_id=20174345","ICTVonline=20174345")</f>
        <v>ICTVonline=20174345</v>
      </c>
      <c r="L3942" s="3">
        <v>3941</v>
      </c>
    </row>
    <row r="3943" spans="1:12" x14ac:dyDescent="0.15">
      <c r="A3943" s="1" t="s">
        <v>908</v>
      </c>
      <c r="B3943" s="1" t="s">
        <v>4062</v>
      </c>
      <c r="D3943" s="1" t="s">
        <v>4063</v>
      </c>
      <c r="E3943" s="1" t="s">
        <v>5257</v>
      </c>
      <c r="F3943" s="3">
        <v>0</v>
      </c>
      <c r="G3943" s="8" t="s">
        <v>5253</v>
      </c>
      <c r="H3943" s="8" t="s">
        <v>5161</v>
      </c>
      <c r="I3943" s="3">
        <v>31</v>
      </c>
      <c r="J3943" s="3" t="s">
        <v>5173</v>
      </c>
      <c r="K3943" s="17" t="str">
        <f>HYPERLINK("http://ictvonline.org/taxonomyHistory.asp?taxnode_id=20174346","ICTVonline=20174346")</f>
        <v>ICTVonline=20174346</v>
      </c>
      <c r="L3943" s="3">
        <v>3942</v>
      </c>
    </row>
    <row r="3944" spans="1:12" x14ac:dyDescent="0.15">
      <c r="A3944" s="1" t="s">
        <v>908</v>
      </c>
      <c r="B3944" s="1" t="s">
        <v>4062</v>
      </c>
      <c r="D3944" s="1" t="s">
        <v>4064</v>
      </c>
      <c r="E3944" s="1" t="s">
        <v>5258</v>
      </c>
      <c r="F3944" s="3">
        <v>0</v>
      </c>
      <c r="G3944" s="8" t="s">
        <v>2771</v>
      </c>
      <c r="H3944" s="8" t="s">
        <v>5161</v>
      </c>
      <c r="I3944" s="3">
        <v>31</v>
      </c>
      <c r="J3944" s="3" t="s">
        <v>5173</v>
      </c>
      <c r="K3944" s="17" t="str">
        <f>HYPERLINK("http://ictvonline.org/taxonomyHistory.asp?taxnode_id=20174348","ICTVonline=20174348")</f>
        <v>ICTVonline=20174348</v>
      </c>
      <c r="L3944" s="3">
        <v>3943</v>
      </c>
    </row>
    <row r="3945" spans="1:12" x14ac:dyDescent="0.15">
      <c r="A3945" s="1" t="s">
        <v>908</v>
      </c>
      <c r="B3945" s="1" t="s">
        <v>4062</v>
      </c>
      <c r="D3945" s="1" t="s">
        <v>4064</v>
      </c>
      <c r="E3945" s="1" t="s">
        <v>5259</v>
      </c>
      <c r="F3945" s="3">
        <v>1</v>
      </c>
      <c r="G3945" s="8" t="s">
        <v>2771</v>
      </c>
      <c r="H3945" s="8" t="s">
        <v>5161</v>
      </c>
      <c r="I3945" s="3">
        <v>31</v>
      </c>
      <c r="J3945" s="3" t="s">
        <v>5173</v>
      </c>
      <c r="K3945" s="17" t="str">
        <f>HYPERLINK("http://ictvonline.org/taxonomyHistory.asp?taxnode_id=20174349","ICTVonline=20174349")</f>
        <v>ICTVonline=20174349</v>
      </c>
      <c r="L3945" s="3">
        <v>3944</v>
      </c>
    </row>
    <row r="3946" spans="1:12" x14ac:dyDescent="0.15">
      <c r="A3946" s="1" t="s">
        <v>908</v>
      </c>
      <c r="B3946" s="1" t="s">
        <v>4062</v>
      </c>
      <c r="D3946" s="1" t="s">
        <v>4065</v>
      </c>
      <c r="E3946" s="1" t="s">
        <v>4066</v>
      </c>
      <c r="F3946" s="3">
        <v>1</v>
      </c>
      <c r="G3946" s="8" t="s">
        <v>2771</v>
      </c>
      <c r="H3946" s="8" t="s">
        <v>5161</v>
      </c>
      <c r="I3946" s="3">
        <v>31</v>
      </c>
      <c r="J3946" s="3" t="s">
        <v>5173</v>
      </c>
      <c r="K3946" s="17" t="str">
        <f>HYPERLINK("http://ictvonline.org/taxonomyHistory.asp?taxnode_id=20174351","ICTVonline=20174351")</f>
        <v>ICTVonline=20174351</v>
      </c>
      <c r="L3946" s="3">
        <v>3945</v>
      </c>
    </row>
    <row r="3947" spans="1:12" x14ac:dyDescent="0.15">
      <c r="A3947" s="1" t="s">
        <v>908</v>
      </c>
      <c r="B3947" s="1" t="s">
        <v>954</v>
      </c>
      <c r="D3947" s="1" t="s">
        <v>613</v>
      </c>
      <c r="E3947" s="1" t="s">
        <v>955</v>
      </c>
      <c r="F3947" s="3">
        <v>0</v>
      </c>
      <c r="G3947" s="8" t="s">
        <v>2771</v>
      </c>
      <c r="H3947" s="8" t="s">
        <v>5162</v>
      </c>
      <c r="I3947" s="3">
        <v>18</v>
      </c>
      <c r="J3947" s="3" t="s">
        <v>5597</v>
      </c>
      <c r="K3947" s="17" t="str">
        <f>HYPERLINK("http://ictvonline.org/taxonomyHistory.asp?taxnode_id=20174355","ICTVonline=20174355")</f>
        <v>ICTVonline=20174355</v>
      </c>
      <c r="L3947" s="3">
        <v>3946</v>
      </c>
    </row>
    <row r="3948" spans="1:12" x14ac:dyDescent="0.15">
      <c r="A3948" s="1" t="s">
        <v>908</v>
      </c>
      <c r="B3948" s="1" t="s">
        <v>954</v>
      </c>
      <c r="D3948" s="1" t="s">
        <v>613</v>
      </c>
      <c r="E3948" s="1" t="s">
        <v>606</v>
      </c>
      <c r="F3948" s="3">
        <v>0</v>
      </c>
      <c r="G3948" s="8" t="s">
        <v>2771</v>
      </c>
      <c r="H3948" s="8" t="s">
        <v>5162</v>
      </c>
      <c r="I3948" s="3">
        <v>18</v>
      </c>
      <c r="J3948" s="3" t="s">
        <v>5597</v>
      </c>
      <c r="K3948" s="17" t="str">
        <f>HYPERLINK("http://ictvonline.org/taxonomyHistory.asp?taxnode_id=20174356","ICTVonline=20174356")</f>
        <v>ICTVonline=20174356</v>
      </c>
      <c r="L3948" s="3">
        <v>3947</v>
      </c>
    </row>
    <row r="3949" spans="1:12" x14ac:dyDescent="0.15">
      <c r="A3949" s="1" t="s">
        <v>908</v>
      </c>
      <c r="B3949" s="1" t="s">
        <v>954</v>
      </c>
      <c r="D3949" s="1" t="s">
        <v>613</v>
      </c>
      <c r="E3949" s="1" t="s">
        <v>607</v>
      </c>
      <c r="F3949" s="3">
        <v>0</v>
      </c>
      <c r="G3949" s="8" t="s">
        <v>2771</v>
      </c>
      <c r="H3949" s="8" t="s">
        <v>5162</v>
      </c>
      <c r="I3949" s="3">
        <v>18</v>
      </c>
      <c r="J3949" s="3" t="s">
        <v>5597</v>
      </c>
      <c r="K3949" s="17" t="str">
        <f>HYPERLINK("http://ictvonline.org/taxonomyHistory.asp?taxnode_id=20174357","ICTVonline=20174357")</f>
        <v>ICTVonline=20174357</v>
      </c>
      <c r="L3949" s="3">
        <v>3948</v>
      </c>
    </row>
    <row r="3950" spans="1:12" x14ac:dyDescent="0.15">
      <c r="A3950" s="1" t="s">
        <v>908</v>
      </c>
      <c r="B3950" s="1" t="s">
        <v>954</v>
      </c>
      <c r="D3950" s="1" t="s">
        <v>613</v>
      </c>
      <c r="E3950" s="1" t="s">
        <v>608</v>
      </c>
      <c r="F3950" s="3">
        <v>0</v>
      </c>
      <c r="G3950" s="8" t="s">
        <v>2771</v>
      </c>
      <c r="H3950" s="8" t="s">
        <v>5162</v>
      </c>
      <c r="I3950" s="3">
        <v>18</v>
      </c>
      <c r="J3950" s="3" t="s">
        <v>5597</v>
      </c>
      <c r="K3950" s="17" t="str">
        <f>HYPERLINK("http://ictvonline.org/taxonomyHistory.asp?taxnode_id=20174358","ICTVonline=20174358")</f>
        <v>ICTVonline=20174358</v>
      </c>
      <c r="L3950" s="3">
        <v>3949</v>
      </c>
    </row>
    <row r="3951" spans="1:12" x14ac:dyDescent="0.15">
      <c r="A3951" s="1" t="s">
        <v>908</v>
      </c>
      <c r="B3951" s="1" t="s">
        <v>954</v>
      </c>
      <c r="D3951" s="1" t="s">
        <v>613</v>
      </c>
      <c r="E3951" s="1" t="s">
        <v>609</v>
      </c>
      <c r="F3951" s="3">
        <v>0</v>
      </c>
      <c r="G3951" s="8" t="s">
        <v>2771</v>
      </c>
      <c r="H3951" s="8" t="s">
        <v>5162</v>
      </c>
      <c r="I3951" s="3">
        <v>18</v>
      </c>
      <c r="J3951" s="3" t="s">
        <v>5597</v>
      </c>
      <c r="K3951" s="17" t="str">
        <f>HYPERLINK("http://ictvonline.org/taxonomyHistory.asp?taxnode_id=20174359","ICTVonline=20174359")</f>
        <v>ICTVonline=20174359</v>
      </c>
      <c r="L3951" s="3">
        <v>3950</v>
      </c>
    </row>
    <row r="3952" spans="1:12" x14ac:dyDescent="0.15">
      <c r="A3952" s="1" t="s">
        <v>908</v>
      </c>
      <c r="B3952" s="1" t="s">
        <v>954</v>
      </c>
      <c r="D3952" s="1" t="s">
        <v>613</v>
      </c>
      <c r="E3952" s="1" t="s">
        <v>948</v>
      </c>
      <c r="F3952" s="3">
        <v>0</v>
      </c>
      <c r="G3952" s="8" t="s">
        <v>2771</v>
      </c>
      <c r="H3952" s="8" t="s">
        <v>5162</v>
      </c>
      <c r="I3952" s="3">
        <v>18</v>
      </c>
      <c r="J3952" s="3" t="s">
        <v>5597</v>
      </c>
      <c r="K3952" s="17" t="str">
        <f>HYPERLINK("http://ictvonline.org/taxonomyHistory.asp?taxnode_id=20174360","ICTVonline=20174360")</f>
        <v>ICTVonline=20174360</v>
      </c>
      <c r="L3952" s="3">
        <v>3951</v>
      </c>
    </row>
    <row r="3953" spans="1:12" x14ac:dyDescent="0.15">
      <c r="A3953" s="1" t="s">
        <v>908</v>
      </c>
      <c r="B3953" s="1" t="s">
        <v>954</v>
      </c>
      <c r="D3953" s="1" t="s">
        <v>613</v>
      </c>
      <c r="E3953" s="1" t="s">
        <v>949</v>
      </c>
      <c r="F3953" s="3">
        <v>0</v>
      </c>
      <c r="G3953" s="8" t="s">
        <v>2771</v>
      </c>
      <c r="H3953" s="8" t="s">
        <v>5162</v>
      </c>
      <c r="I3953" s="3">
        <v>18</v>
      </c>
      <c r="J3953" s="3" t="s">
        <v>5597</v>
      </c>
      <c r="K3953" s="17" t="str">
        <f>HYPERLINK("http://ictvonline.org/taxonomyHistory.asp?taxnode_id=20174361","ICTVonline=20174361")</f>
        <v>ICTVonline=20174361</v>
      </c>
      <c r="L3953" s="3">
        <v>3952</v>
      </c>
    </row>
    <row r="3954" spans="1:12" x14ac:dyDescent="0.15">
      <c r="A3954" s="1" t="s">
        <v>908</v>
      </c>
      <c r="B3954" s="1" t="s">
        <v>954</v>
      </c>
      <c r="D3954" s="1" t="s">
        <v>613</v>
      </c>
      <c r="E3954" s="1" t="s">
        <v>950</v>
      </c>
      <c r="F3954" s="3">
        <v>0</v>
      </c>
      <c r="G3954" s="8" t="s">
        <v>2771</v>
      </c>
      <c r="H3954" s="8" t="s">
        <v>5159</v>
      </c>
      <c r="I3954" s="3">
        <v>18</v>
      </c>
      <c r="J3954" s="3" t="s">
        <v>5597</v>
      </c>
      <c r="K3954" s="17" t="str">
        <f>HYPERLINK("http://ictvonline.org/taxonomyHistory.asp?taxnode_id=20174362","ICTVonline=20174362")</f>
        <v>ICTVonline=20174362</v>
      </c>
      <c r="L3954" s="3">
        <v>3953</v>
      </c>
    </row>
    <row r="3955" spans="1:12" x14ac:dyDescent="0.15">
      <c r="A3955" s="1" t="s">
        <v>908</v>
      </c>
      <c r="B3955" s="1" t="s">
        <v>954</v>
      </c>
      <c r="D3955" s="1" t="s">
        <v>613</v>
      </c>
      <c r="E3955" s="1" t="s">
        <v>951</v>
      </c>
      <c r="F3955" s="3">
        <v>0</v>
      </c>
      <c r="G3955" s="8" t="s">
        <v>2771</v>
      </c>
      <c r="H3955" s="8" t="s">
        <v>5162</v>
      </c>
      <c r="I3955" s="3">
        <v>18</v>
      </c>
      <c r="J3955" s="3" t="s">
        <v>5597</v>
      </c>
      <c r="K3955" s="17" t="str">
        <f>HYPERLINK("http://ictvonline.org/taxonomyHistory.asp?taxnode_id=20174363","ICTVonline=20174363")</f>
        <v>ICTVonline=20174363</v>
      </c>
      <c r="L3955" s="3">
        <v>3954</v>
      </c>
    </row>
    <row r="3956" spans="1:12" x14ac:dyDescent="0.15">
      <c r="A3956" s="1" t="s">
        <v>908</v>
      </c>
      <c r="B3956" s="1" t="s">
        <v>954</v>
      </c>
      <c r="D3956" s="1" t="s">
        <v>613</v>
      </c>
      <c r="E3956" s="1" t="s">
        <v>6317</v>
      </c>
      <c r="F3956" s="3">
        <v>0</v>
      </c>
      <c r="G3956" s="8" t="s">
        <v>2771</v>
      </c>
      <c r="H3956" s="8" t="s">
        <v>5162</v>
      </c>
      <c r="I3956" s="3">
        <v>32</v>
      </c>
      <c r="J3956" s="3" t="s">
        <v>5564</v>
      </c>
      <c r="K3956" s="17" t="str">
        <f>HYPERLINK("http://ictvonline.org/taxonomyHistory.asp?taxnode_id=20174364","ICTVonline=20174364")</f>
        <v>ICTVonline=20174364</v>
      </c>
      <c r="L3956" s="3">
        <v>3955</v>
      </c>
    </row>
    <row r="3957" spans="1:12" x14ac:dyDescent="0.15">
      <c r="A3957" s="1" t="s">
        <v>908</v>
      </c>
      <c r="B3957" s="1" t="s">
        <v>954</v>
      </c>
      <c r="D3957" s="1" t="s">
        <v>613</v>
      </c>
      <c r="E3957" s="1" t="s">
        <v>1764</v>
      </c>
      <c r="F3957" s="3">
        <v>0</v>
      </c>
      <c r="G3957" s="8" t="s">
        <v>2771</v>
      </c>
      <c r="H3957" s="8" t="s">
        <v>5162</v>
      </c>
      <c r="I3957" s="3">
        <v>18</v>
      </c>
      <c r="J3957" s="3" t="s">
        <v>5597</v>
      </c>
      <c r="K3957" s="17" t="str">
        <f>HYPERLINK("http://ictvonline.org/taxonomyHistory.asp?taxnode_id=20174365","ICTVonline=20174365")</f>
        <v>ICTVonline=20174365</v>
      </c>
      <c r="L3957" s="3">
        <v>3956</v>
      </c>
    </row>
    <row r="3958" spans="1:12" x14ac:dyDescent="0.15">
      <c r="A3958" s="1" t="s">
        <v>908</v>
      </c>
      <c r="B3958" s="1" t="s">
        <v>954</v>
      </c>
      <c r="D3958" s="1" t="s">
        <v>613</v>
      </c>
      <c r="E3958" s="1" t="s">
        <v>614</v>
      </c>
      <c r="F3958" s="3">
        <v>0</v>
      </c>
      <c r="G3958" s="8" t="s">
        <v>2771</v>
      </c>
      <c r="H3958" s="8" t="s">
        <v>5162</v>
      </c>
      <c r="I3958" s="3">
        <v>18</v>
      </c>
      <c r="J3958" s="3" t="s">
        <v>5597</v>
      </c>
      <c r="K3958" s="17" t="str">
        <f>HYPERLINK("http://ictvonline.org/taxonomyHistory.asp?taxnode_id=20174366","ICTVonline=20174366")</f>
        <v>ICTVonline=20174366</v>
      </c>
      <c r="L3958" s="3">
        <v>3957</v>
      </c>
    </row>
    <row r="3959" spans="1:12" x14ac:dyDescent="0.15">
      <c r="A3959" s="1" t="s">
        <v>908</v>
      </c>
      <c r="B3959" s="1" t="s">
        <v>954</v>
      </c>
      <c r="D3959" s="1" t="s">
        <v>613</v>
      </c>
      <c r="E3959" s="1" t="s">
        <v>615</v>
      </c>
      <c r="F3959" s="3">
        <v>0</v>
      </c>
      <c r="G3959" s="8" t="s">
        <v>2771</v>
      </c>
      <c r="H3959" s="8" t="s">
        <v>5162</v>
      </c>
      <c r="I3959" s="3">
        <v>18</v>
      </c>
      <c r="J3959" s="3" t="s">
        <v>5597</v>
      </c>
      <c r="K3959" s="17" t="str">
        <f>HYPERLINK("http://ictvonline.org/taxonomyHistory.asp?taxnode_id=20174367","ICTVonline=20174367")</f>
        <v>ICTVonline=20174367</v>
      </c>
      <c r="L3959" s="3">
        <v>3958</v>
      </c>
    </row>
    <row r="3960" spans="1:12" x14ac:dyDescent="0.15">
      <c r="A3960" s="1" t="s">
        <v>908</v>
      </c>
      <c r="B3960" s="1" t="s">
        <v>954</v>
      </c>
      <c r="D3960" s="1" t="s">
        <v>613</v>
      </c>
      <c r="E3960" s="1" t="s">
        <v>1760</v>
      </c>
      <c r="F3960" s="3">
        <v>0</v>
      </c>
      <c r="G3960" s="8" t="s">
        <v>2771</v>
      </c>
      <c r="H3960" s="8" t="s">
        <v>5162</v>
      </c>
      <c r="I3960" s="3">
        <v>18</v>
      </c>
      <c r="J3960" s="3" t="s">
        <v>5597</v>
      </c>
      <c r="K3960" s="17" t="str">
        <f>HYPERLINK("http://ictvonline.org/taxonomyHistory.asp?taxnode_id=20174368","ICTVonline=20174368")</f>
        <v>ICTVonline=20174368</v>
      </c>
      <c r="L3960" s="3">
        <v>3959</v>
      </c>
    </row>
    <row r="3961" spans="1:12" x14ac:dyDescent="0.15">
      <c r="A3961" s="1" t="s">
        <v>908</v>
      </c>
      <c r="B3961" s="1" t="s">
        <v>954</v>
      </c>
      <c r="D3961" s="1" t="s">
        <v>613</v>
      </c>
      <c r="E3961" s="1" t="s">
        <v>1761</v>
      </c>
      <c r="F3961" s="3">
        <v>0</v>
      </c>
      <c r="G3961" s="8" t="s">
        <v>2771</v>
      </c>
      <c r="H3961" s="8" t="s">
        <v>5162</v>
      </c>
      <c r="I3961" s="3">
        <v>18</v>
      </c>
      <c r="J3961" s="3" t="s">
        <v>5597</v>
      </c>
      <c r="K3961" s="17" t="str">
        <f>HYPERLINK("http://ictvonline.org/taxonomyHistory.asp?taxnode_id=20174369","ICTVonline=20174369")</f>
        <v>ICTVonline=20174369</v>
      </c>
      <c r="L3961" s="3">
        <v>3960</v>
      </c>
    </row>
    <row r="3962" spans="1:12" x14ac:dyDescent="0.15">
      <c r="A3962" s="1" t="s">
        <v>908</v>
      </c>
      <c r="B3962" s="1" t="s">
        <v>954</v>
      </c>
      <c r="D3962" s="1" t="s">
        <v>613</v>
      </c>
      <c r="E3962" s="1" t="s">
        <v>1762</v>
      </c>
      <c r="F3962" s="3">
        <v>0</v>
      </c>
      <c r="G3962" s="8" t="s">
        <v>2771</v>
      </c>
      <c r="H3962" s="8" t="s">
        <v>5162</v>
      </c>
      <c r="I3962" s="3">
        <v>18</v>
      </c>
      <c r="J3962" s="3" t="s">
        <v>5597</v>
      </c>
      <c r="K3962" s="17" t="str">
        <f>HYPERLINK("http://ictvonline.org/taxonomyHistory.asp?taxnode_id=20174370","ICTVonline=20174370")</f>
        <v>ICTVonline=20174370</v>
      </c>
      <c r="L3962" s="3">
        <v>3961</v>
      </c>
    </row>
    <row r="3963" spans="1:12" x14ac:dyDescent="0.15">
      <c r="A3963" s="1" t="s">
        <v>908</v>
      </c>
      <c r="B3963" s="1" t="s">
        <v>954</v>
      </c>
      <c r="D3963" s="1" t="s">
        <v>613</v>
      </c>
      <c r="E3963" s="1" t="s">
        <v>610</v>
      </c>
      <c r="F3963" s="3">
        <v>0</v>
      </c>
      <c r="G3963" s="8" t="s">
        <v>2771</v>
      </c>
      <c r="H3963" s="8" t="s">
        <v>5162</v>
      </c>
      <c r="I3963" s="3">
        <v>18</v>
      </c>
      <c r="J3963" s="3" t="s">
        <v>5597</v>
      </c>
      <c r="K3963" s="17" t="str">
        <f>HYPERLINK("http://ictvonline.org/taxonomyHistory.asp?taxnode_id=20174371","ICTVonline=20174371")</f>
        <v>ICTVonline=20174371</v>
      </c>
      <c r="L3963" s="3">
        <v>3962</v>
      </c>
    </row>
    <row r="3964" spans="1:12" x14ac:dyDescent="0.15">
      <c r="A3964" s="1" t="s">
        <v>908</v>
      </c>
      <c r="B3964" s="1" t="s">
        <v>954</v>
      </c>
      <c r="D3964" s="1" t="s">
        <v>613</v>
      </c>
      <c r="E3964" s="1" t="s">
        <v>611</v>
      </c>
      <c r="F3964" s="3">
        <v>1</v>
      </c>
      <c r="G3964" s="8" t="s">
        <v>2771</v>
      </c>
      <c r="H3964" s="8" t="s">
        <v>5162</v>
      </c>
      <c r="I3964" s="3">
        <v>18</v>
      </c>
      <c r="J3964" s="3" t="s">
        <v>5597</v>
      </c>
      <c r="K3964" s="17" t="str">
        <f>HYPERLINK("http://ictvonline.org/taxonomyHistory.asp?taxnode_id=20174372","ICTVonline=20174372")</f>
        <v>ICTVonline=20174372</v>
      </c>
      <c r="L3964" s="3">
        <v>3963</v>
      </c>
    </row>
    <row r="3965" spans="1:12" x14ac:dyDescent="0.15">
      <c r="A3965" s="1" t="s">
        <v>908</v>
      </c>
      <c r="B3965" s="1" t="s">
        <v>954</v>
      </c>
      <c r="D3965" s="1" t="s">
        <v>613</v>
      </c>
      <c r="E3965" s="1" t="s">
        <v>612</v>
      </c>
      <c r="F3965" s="3">
        <v>0</v>
      </c>
      <c r="G3965" s="8" t="s">
        <v>2771</v>
      </c>
      <c r="H3965" s="8" t="s">
        <v>5162</v>
      </c>
      <c r="I3965" s="3">
        <v>18</v>
      </c>
      <c r="J3965" s="3" t="s">
        <v>5597</v>
      </c>
      <c r="K3965" s="17" t="str">
        <f>HYPERLINK("http://ictvonline.org/taxonomyHistory.asp?taxnode_id=20174373","ICTVonline=20174373")</f>
        <v>ICTVonline=20174373</v>
      </c>
      <c r="L3965" s="3">
        <v>3964</v>
      </c>
    </row>
    <row r="3966" spans="1:12" x14ac:dyDescent="0.15">
      <c r="A3966" s="1" t="s">
        <v>908</v>
      </c>
      <c r="B3966" s="1" t="s">
        <v>954</v>
      </c>
      <c r="D3966" s="1" t="s">
        <v>613</v>
      </c>
      <c r="E3966" s="1" t="s">
        <v>622</v>
      </c>
      <c r="F3966" s="3">
        <v>0</v>
      </c>
      <c r="G3966" s="8" t="s">
        <v>2771</v>
      </c>
      <c r="H3966" s="8" t="s">
        <v>5162</v>
      </c>
      <c r="I3966" s="3">
        <v>18</v>
      </c>
      <c r="J3966" s="3" t="s">
        <v>5597</v>
      </c>
      <c r="K3966" s="17" t="str">
        <f>HYPERLINK("http://ictvonline.org/taxonomyHistory.asp?taxnode_id=20174374","ICTVonline=20174374")</f>
        <v>ICTVonline=20174374</v>
      </c>
      <c r="L3966" s="3">
        <v>3965</v>
      </c>
    </row>
    <row r="3967" spans="1:12" x14ac:dyDescent="0.15">
      <c r="A3967" s="1" t="s">
        <v>908</v>
      </c>
      <c r="B3967" s="1" t="s">
        <v>954</v>
      </c>
      <c r="D3967" s="1" t="s">
        <v>613</v>
      </c>
      <c r="E3967" s="1" t="s">
        <v>623</v>
      </c>
      <c r="F3967" s="3">
        <v>0</v>
      </c>
      <c r="G3967" s="8" t="s">
        <v>2771</v>
      </c>
      <c r="H3967" s="8" t="s">
        <v>5162</v>
      </c>
      <c r="I3967" s="3">
        <v>18</v>
      </c>
      <c r="J3967" s="3" t="s">
        <v>5597</v>
      </c>
      <c r="K3967" s="17" t="str">
        <f>HYPERLINK("http://ictvonline.org/taxonomyHistory.asp?taxnode_id=20174375","ICTVonline=20174375")</f>
        <v>ICTVonline=20174375</v>
      </c>
      <c r="L3967" s="3">
        <v>3966</v>
      </c>
    </row>
    <row r="3968" spans="1:12" x14ac:dyDescent="0.15">
      <c r="A3968" s="1" t="s">
        <v>908</v>
      </c>
      <c r="B3968" s="1" t="s">
        <v>954</v>
      </c>
      <c r="D3968" s="1" t="s">
        <v>613</v>
      </c>
      <c r="E3968" s="1" t="s">
        <v>889</v>
      </c>
      <c r="F3968" s="3">
        <v>0</v>
      </c>
      <c r="G3968" s="8" t="s">
        <v>2771</v>
      </c>
      <c r="H3968" s="8" t="s">
        <v>5162</v>
      </c>
      <c r="I3968" s="3">
        <v>18</v>
      </c>
      <c r="J3968" s="3" t="s">
        <v>5597</v>
      </c>
      <c r="K3968" s="17" t="str">
        <f>HYPERLINK("http://ictvonline.org/taxonomyHistory.asp?taxnode_id=20174376","ICTVonline=20174376")</f>
        <v>ICTVonline=20174376</v>
      </c>
      <c r="L3968" s="3">
        <v>3967</v>
      </c>
    </row>
    <row r="3969" spans="1:12" x14ac:dyDescent="0.15">
      <c r="A3969" s="1" t="s">
        <v>908</v>
      </c>
      <c r="B3969" s="1" t="s">
        <v>954</v>
      </c>
      <c r="D3969" s="1" t="s">
        <v>613</v>
      </c>
      <c r="E3969" s="1" t="s">
        <v>966</v>
      </c>
      <c r="F3969" s="3">
        <v>0</v>
      </c>
      <c r="G3969" s="8" t="s">
        <v>2771</v>
      </c>
      <c r="H3969" s="8" t="s">
        <v>5162</v>
      </c>
      <c r="I3969" s="3">
        <v>18</v>
      </c>
      <c r="J3969" s="3" t="s">
        <v>5597</v>
      </c>
      <c r="K3969" s="17" t="str">
        <f>HYPERLINK("http://ictvonline.org/taxonomyHistory.asp?taxnode_id=20174377","ICTVonline=20174377")</f>
        <v>ICTVonline=20174377</v>
      </c>
      <c r="L3969" s="3">
        <v>3968</v>
      </c>
    </row>
    <row r="3970" spans="1:12" x14ac:dyDescent="0.15">
      <c r="A3970" s="1" t="s">
        <v>908</v>
      </c>
      <c r="B3970" s="1" t="s">
        <v>954</v>
      </c>
      <c r="D3970" s="1" t="s">
        <v>613</v>
      </c>
      <c r="E3970" s="1" t="s">
        <v>967</v>
      </c>
      <c r="F3970" s="3">
        <v>0</v>
      </c>
      <c r="G3970" s="8" t="s">
        <v>2771</v>
      </c>
      <c r="H3970" s="8" t="s">
        <v>5162</v>
      </c>
      <c r="I3970" s="3">
        <v>18</v>
      </c>
      <c r="J3970" s="3" t="s">
        <v>5597</v>
      </c>
      <c r="K3970" s="17" t="str">
        <f>HYPERLINK("http://ictvonline.org/taxonomyHistory.asp?taxnode_id=20174378","ICTVonline=20174378")</f>
        <v>ICTVonline=20174378</v>
      </c>
      <c r="L3970" s="3">
        <v>3969</v>
      </c>
    </row>
    <row r="3971" spans="1:12" x14ac:dyDescent="0.15">
      <c r="A3971" s="1" t="s">
        <v>908</v>
      </c>
      <c r="B3971" s="1" t="s">
        <v>954</v>
      </c>
      <c r="D3971" s="1" t="s">
        <v>613</v>
      </c>
      <c r="E3971" s="1" t="s">
        <v>1931</v>
      </c>
      <c r="F3971" s="3">
        <v>0</v>
      </c>
      <c r="G3971" s="8" t="s">
        <v>2771</v>
      </c>
      <c r="H3971" s="8" t="s">
        <v>5162</v>
      </c>
      <c r="I3971" s="3">
        <v>18</v>
      </c>
      <c r="J3971" s="3" t="s">
        <v>5597</v>
      </c>
      <c r="K3971" s="17" t="str">
        <f>HYPERLINK("http://ictvonline.org/taxonomyHistory.asp?taxnode_id=20174379","ICTVonline=20174379")</f>
        <v>ICTVonline=20174379</v>
      </c>
      <c r="L3971" s="3">
        <v>3970</v>
      </c>
    </row>
    <row r="3972" spans="1:12" x14ac:dyDescent="0.15">
      <c r="A3972" s="1" t="s">
        <v>908</v>
      </c>
      <c r="B3972" s="1" t="s">
        <v>954</v>
      </c>
      <c r="D3972" s="1" t="s">
        <v>613</v>
      </c>
      <c r="E3972" s="1" t="s">
        <v>1932</v>
      </c>
      <c r="F3972" s="3">
        <v>0</v>
      </c>
      <c r="G3972" s="8" t="s">
        <v>2771</v>
      </c>
      <c r="H3972" s="8" t="s">
        <v>5162</v>
      </c>
      <c r="I3972" s="3">
        <v>18</v>
      </c>
      <c r="J3972" s="3" t="s">
        <v>5597</v>
      </c>
      <c r="K3972" s="17" t="str">
        <f>HYPERLINK("http://ictvonline.org/taxonomyHistory.asp?taxnode_id=20174380","ICTVonline=20174380")</f>
        <v>ICTVonline=20174380</v>
      </c>
      <c r="L3972" s="3">
        <v>3971</v>
      </c>
    </row>
    <row r="3973" spans="1:12" x14ac:dyDescent="0.15">
      <c r="A3973" s="1" t="s">
        <v>908</v>
      </c>
      <c r="B3973" s="1" t="s">
        <v>954</v>
      </c>
      <c r="D3973" s="1" t="s">
        <v>613</v>
      </c>
      <c r="E3973" s="1" t="s">
        <v>1933</v>
      </c>
      <c r="F3973" s="3">
        <v>0</v>
      </c>
      <c r="G3973" s="8" t="s">
        <v>2771</v>
      </c>
      <c r="H3973" s="8" t="s">
        <v>5162</v>
      </c>
      <c r="I3973" s="3">
        <v>18</v>
      </c>
      <c r="J3973" s="3" t="s">
        <v>5597</v>
      </c>
      <c r="K3973" s="17" t="str">
        <f>HYPERLINK("http://ictvonline.org/taxonomyHistory.asp?taxnode_id=20174381","ICTVonline=20174381")</f>
        <v>ICTVonline=20174381</v>
      </c>
      <c r="L3973" s="3">
        <v>3972</v>
      </c>
    </row>
    <row r="3974" spans="1:12" x14ac:dyDescent="0.15">
      <c r="A3974" s="1" t="s">
        <v>908</v>
      </c>
      <c r="B3974" s="1" t="s">
        <v>954</v>
      </c>
      <c r="D3974" s="1" t="s">
        <v>613</v>
      </c>
      <c r="E3974" s="1" t="s">
        <v>893</v>
      </c>
      <c r="F3974" s="3">
        <v>0</v>
      </c>
      <c r="G3974" s="8" t="s">
        <v>2771</v>
      </c>
      <c r="H3974" s="8" t="s">
        <v>5162</v>
      </c>
      <c r="I3974" s="3">
        <v>18</v>
      </c>
      <c r="J3974" s="3" t="s">
        <v>5597</v>
      </c>
      <c r="K3974" s="17" t="str">
        <f>HYPERLINK("http://ictvonline.org/taxonomyHistory.asp?taxnode_id=20174382","ICTVonline=20174382")</f>
        <v>ICTVonline=20174382</v>
      </c>
      <c r="L3974" s="3">
        <v>3973</v>
      </c>
    </row>
    <row r="3975" spans="1:12" x14ac:dyDescent="0.15">
      <c r="A3975" s="1" t="s">
        <v>908</v>
      </c>
      <c r="B3975" s="1" t="s">
        <v>954</v>
      </c>
      <c r="D3975" s="1" t="s">
        <v>613</v>
      </c>
      <c r="E3975" s="1" t="s">
        <v>964</v>
      </c>
      <c r="F3975" s="3">
        <v>0</v>
      </c>
      <c r="G3975" s="8" t="s">
        <v>2771</v>
      </c>
      <c r="H3975" s="8" t="s">
        <v>5162</v>
      </c>
      <c r="I3975" s="3">
        <v>18</v>
      </c>
      <c r="J3975" s="3" t="s">
        <v>5597</v>
      </c>
      <c r="K3975" s="17" t="str">
        <f>HYPERLINK("http://ictvonline.org/taxonomyHistory.asp?taxnode_id=20174383","ICTVonline=20174383")</f>
        <v>ICTVonline=20174383</v>
      </c>
      <c r="L3975" s="3">
        <v>3974</v>
      </c>
    </row>
    <row r="3976" spans="1:12" x14ac:dyDescent="0.15">
      <c r="A3976" s="1" t="s">
        <v>908</v>
      </c>
      <c r="B3976" s="1" t="s">
        <v>954</v>
      </c>
      <c r="D3976" s="1" t="s">
        <v>613</v>
      </c>
      <c r="E3976" s="1" t="s">
        <v>965</v>
      </c>
      <c r="F3976" s="3">
        <v>0</v>
      </c>
      <c r="G3976" s="8" t="s">
        <v>2771</v>
      </c>
      <c r="H3976" s="8" t="s">
        <v>5162</v>
      </c>
      <c r="I3976" s="3">
        <v>18</v>
      </c>
      <c r="J3976" s="3" t="s">
        <v>5597</v>
      </c>
      <c r="K3976" s="17" t="str">
        <f>HYPERLINK("http://ictvonline.org/taxonomyHistory.asp?taxnode_id=20174384","ICTVonline=20174384")</f>
        <v>ICTVonline=20174384</v>
      </c>
      <c r="L3976" s="3">
        <v>3975</v>
      </c>
    </row>
    <row r="3977" spans="1:12" x14ac:dyDescent="0.15">
      <c r="A3977" s="1" t="s">
        <v>908</v>
      </c>
      <c r="B3977" s="1" t="s">
        <v>954</v>
      </c>
      <c r="D3977" s="1" t="s">
        <v>613</v>
      </c>
      <c r="E3977" s="1" t="s">
        <v>1772</v>
      </c>
      <c r="F3977" s="3">
        <v>0</v>
      </c>
      <c r="G3977" s="8" t="s">
        <v>2771</v>
      </c>
      <c r="H3977" s="8" t="s">
        <v>5162</v>
      </c>
      <c r="I3977" s="3">
        <v>18</v>
      </c>
      <c r="J3977" s="3" t="s">
        <v>5597</v>
      </c>
      <c r="K3977" s="17" t="str">
        <f>HYPERLINK("http://ictvonline.org/taxonomyHistory.asp?taxnode_id=20174385","ICTVonline=20174385")</f>
        <v>ICTVonline=20174385</v>
      </c>
      <c r="L3977" s="3">
        <v>3976</v>
      </c>
    </row>
    <row r="3978" spans="1:12" x14ac:dyDescent="0.15">
      <c r="A3978" s="1" t="s">
        <v>908</v>
      </c>
      <c r="B3978" s="1" t="s">
        <v>954</v>
      </c>
      <c r="D3978" s="1" t="s">
        <v>613</v>
      </c>
      <c r="E3978" s="1" t="s">
        <v>624</v>
      </c>
      <c r="F3978" s="3">
        <v>0</v>
      </c>
      <c r="G3978" s="8" t="s">
        <v>2771</v>
      </c>
      <c r="H3978" s="8" t="s">
        <v>5159</v>
      </c>
      <c r="I3978" s="3">
        <v>18</v>
      </c>
      <c r="J3978" s="3" t="s">
        <v>5597</v>
      </c>
      <c r="K3978" s="17" t="str">
        <f>HYPERLINK("http://ictvonline.org/taxonomyHistory.asp?taxnode_id=20174386","ICTVonline=20174386")</f>
        <v>ICTVonline=20174386</v>
      </c>
      <c r="L3978" s="3">
        <v>3977</v>
      </c>
    </row>
    <row r="3979" spans="1:12" x14ac:dyDescent="0.15">
      <c r="A3979" s="1" t="s">
        <v>908</v>
      </c>
      <c r="B3979" s="1" t="s">
        <v>954</v>
      </c>
      <c r="D3979" s="1" t="s">
        <v>625</v>
      </c>
      <c r="E3979" s="1" t="s">
        <v>968</v>
      </c>
      <c r="F3979" s="3">
        <v>0</v>
      </c>
      <c r="G3979" s="8" t="s">
        <v>2771</v>
      </c>
      <c r="H3979" s="8" t="s">
        <v>5162</v>
      </c>
      <c r="I3979" s="3">
        <v>18</v>
      </c>
      <c r="J3979" s="3" t="s">
        <v>5597</v>
      </c>
      <c r="K3979" s="17" t="str">
        <f>HYPERLINK("http://ictvonline.org/taxonomyHistory.asp?taxnode_id=20174388","ICTVonline=20174388")</f>
        <v>ICTVonline=20174388</v>
      </c>
      <c r="L3979" s="3">
        <v>3978</v>
      </c>
    </row>
    <row r="3980" spans="1:12" x14ac:dyDescent="0.15">
      <c r="A3980" s="1" t="s">
        <v>908</v>
      </c>
      <c r="B3980" s="1" t="s">
        <v>954</v>
      </c>
      <c r="D3980" s="1" t="s">
        <v>625</v>
      </c>
      <c r="E3980" s="1" t="s">
        <v>899</v>
      </c>
      <c r="F3980" s="3">
        <v>0</v>
      </c>
      <c r="G3980" s="8" t="s">
        <v>2771</v>
      </c>
      <c r="H3980" s="8" t="s">
        <v>5162</v>
      </c>
      <c r="I3980" s="3">
        <v>18</v>
      </c>
      <c r="J3980" s="3" t="s">
        <v>5597</v>
      </c>
      <c r="K3980" s="17" t="str">
        <f>HYPERLINK("http://ictvonline.org/taxonomyHistory.asp?taxnode_id=20174389","ICTVonline=20174389")</f>
        <v>ICTVonline=20174389</v>
      </c>
      <c r="L3980" s="3">
        <v>3979</v>
      </c>
    </row>
    <row r="3981" spans="1:12" x14ac:dyDescent="0.15">
      <c r="A3981" s="1" t="s">
        <v>908</v>
      </c>
      <c r="B3981" s="1" t="s">
        <v>954</v>
      </c>
      <c r="D3981" s="1" t="s">
        <v>625</v>
      </c>
      <c r="E3981" s="1" t="s">
        <v>900</v>
      </c>
      <c r="F3981" s="3">
        <v>1</v>
      </c>
      <c r="G3981" s="8" t="s">
        <v>2771</v>
      </c>
      <c r="H3981" s="8" t="s">
        <v>5162</v>
      </c>
      <c r="I3981" s="3">
        <v>18</v>
      </c>
      <c r="J3981" s="3" t="s">
        <v>5597</v>
      </c>
      <c r="K3981" s="17" t="str">
        <f>HYPERLINK("http://ictvonline.org/taxonomyHistory.asp?taxnode_id=20174390","ICTVonline=20174390")</f>
        <v>ICTVonline=20174390</v>
      </c>
      <c r="L3981" s="3">
        <v>3980</v>
      </c>
    </row>
    <row r="3982" spans="1:12" x14ac:dyDescent="0.15">
      <c r="A3982" s="1" t="s">
        <v>908</v>
      </c>
      <c r="B3982" s="1" t="s">
        <v>954</v>
      </c>
      <c r="D3982" s="1" t="s">
        <v>625</v>
      </c>
      <c r="E3982" s="1" t="s">
        <v>901</v>
      </c>
      <c r="F3982" s="3">
        <v>0</v>
      </c>
      <c r="G3982" s="8" t="s">
        <v>2771</v>
      </c>
      <c r="H3982" s="8" t="s">
        <v>5162</v>
      </c>
      <c r="I3982" s="3">
        <v>18</v>
      </c>
      <c r="J3982" s="3" t="s">
        <v>5597</v>
      </c>
      <c r="K3982" s="17" t="str">
        <f>HYPERLINK("http://ictvonline.org/taxonomyHistory.asp?taxnode_id=20174391","ICTVonline=20174391")</f>
        <v>ICTVonline=20174391</v>
      </c>
      <c r="L3982" s="3">
        <v>3981</v>
      </c>
    </row>
    <row r="3983" spans="1:12" x14ac:dyDescent="0.15">
      <c r="A3983" s="1" t="s">
        <v>908</v>
      </c>
      <c r="B3983" s="1" t="s">
        <v>954</v>
      </c>
      <c r="D3983" s="1" t="s">
        <v>625</v>
      </c>
      <c r="E3983" s="1" t="s">
        <v>984</v>
      </c>
      <c r="F3983" s="3">
        <v>0</v>
      </c>
      <c r="G3983" s="8" t="s">
        <v>2771</v>
      </c>
      <c r="H3983" s="8" t="s">
        <v>5162</v>
      </c>
      <c r="I3983" s="3">
        <v>18</v>
      </c>
      <c r="J3983" s="3" t="s">
        <v>5597</v>
      </c>
      <c r="K3983" s="17" t="str">
        <f>HYPERLINK("http://ictvonline.org/taxonomyHistory.asp?taxnode_id=20174392","ICTVonline=20174392")</f>
        <v>ICTVonline=20174392</v>
      </c>
      <c r="L3983" s="3">
        <v>3982</v>
      </c>
    </row>
    <row r="3984" spans="1:12" x14ac:dyDescent="0.15">
      <c r="A3984" s="1" t="s">
        <v>908</v>
      </c>
      <c r="B3984" s="1" t="s">
        <v>954</v>
      </c>
      <c r="D3984" s="1" t="s">
        <v>625</v>
      </c>
      <c r="E3984" s="1" t="s">
        <v>985</v>
      </c>
      <c r="F3984" s="3">
        <v>0</v>
      </c>
      <c r="G3984" s="8" t="s">
        <v>2771</v>
      </c>
      <c r="H3984" s="8" t="s">
        <v>5162</v>
      </c>
      <c r="I3984" s="3">
        <v>18</v>
      </c>
      <c r="J3984" s="3" t="s">
        <v>5597</v>
      </c>
      <c r="K3984" s="17" t="str">
        <f>HYPERLINK("http://ictvonline.org/taxonomyHistory.asp?taxnode_id=20174393","ICTVonline=20174393")</f>
        <v>ICTVonline=20174393</v>
      </c>
      <c r="L3984" s="3">
        <v>3983</v>
      </c>
    </row>
    <row r="3985" spans="1:12" x14ac:dyDescent="0.15">
      <c r="A3985" s="1" t="s">
        <v>908</v>
      </c>
      <c r="B3985" s="1" t="s">
        <v>954</v>
      </c>
      <c r="D3985" s="1" t="s">
        <v>625</v>
      </c>
      <c r="E3985" s="1" t="s">
        <v>986</v>
      </c>
      <c r="F3985" s="3">
        <v>0</v>
      </c>
      <c r="G3985" s="8" t="s">
        <v>2771</v>
      </c>
      <c r="H3985" s="8" t="s">
        <v>5162</v>
      </c>
      <c r="I3985" s="3">
        <v>18</v>
      </c>
      <c r="J3985" s="3" t="s">
        <v>5597</v>
      </c>
      <c r="K3985" s="17" t="str">
        <f>HYPERLINK("http://ictvonline.org/taxonomyHistory.asp?taxnode_id=20174394","ICTVonline=20174394")</f>
        <v>ICTVonline=20174394</v>
      </c>
      <c r="L3985" s="3">
        <v>3984</v>
      </c>
    </row>
    <row r="3986" spans="1:12" x14ac:dyDescent="0.15">
      <c r="A3986" s="1" t="s">
        <v>908</v>
      </c>
      <c r="B3986" s="1" t="s">
        <v>954</v>
      </c>
      <c r="D3986" s="1" t="s">
        <v>625</v>
      </c>
      <c r="E3986" s="1" t="s">
        <v>987</v>
      </c>
      <c r="F3986" s="3">
        <v>0</v>
      </c>
      <c r="G3986" s="8" t="s">
        <v>2771</v>
      </c>
      <c r="H3986" s="8" t="s">
        <v>5162</v>
      </c>
      <c r="I3986" s="3">
        <v>18</v>
      </c>
      <c r="J3986" s="3" t="s">
        <v>5597</v>
      </c>
      <c r="K3986" s="17" t="str">
        <f>HYPERLINK("http://ictvonline.org/taxonomyHistory.asp?taxnode_id=20174395","ICTVonline=20174395")</f>
        <v>ICTVonline=20174395</v>
      </c>
      <c r="L3986" s="3">
        <v>3985</v>
      </c>
    </row>
    <row r="3987" spans="1:12" x14ac:dyDescent="0.15">
      <c r="A3987" s="1" t="s">
        <v>908</v>
      </c>
      <c r="B3987" s="1" t="s">
        <v>954</v>
      </c>
      <c r="D3987" s="1" t="s">
        <v>625</v>
      </c>
      <c r="E3987" s="1" t="s">
        <v>988</v>
      </c>
      <c r="F3987" s="3">
        <v>0</v>
      </c>
      <c r="G3987" s="8" t="s">
        <v>2771</v>
      </c>
      <c r="H3987" s="8" t="s">
        <v>5162</v>
      </c>
      <c r="I3987" s="3">
        <v>18</v>
      </c>
      <c r="J3987" s="3" t="s">
        <v>5597</v>
      </c>
      <c r="K3987" s="17" t="str">
        <f>HYPERLINK("http://ictvonline.org/taxonomyHistory.asp?taxnode_id=20174396","ICTVonline=20174396")</f>
        <v>ICTVonline=20174396</v>
      </c>
      <c r="L3987" s="3">
        <v>3986</v>
      </c>
    </row>
    <row r="3988" spans="1:12" x14ac:dyDescent="0.15">
      <c r="A3988" s="1" t="s">
        <v>908</v>
      </c>
      <c r="B3988" s="1" t="s">
        <v>954</v>
      </c>
      <c r="D3988" s="1" t="s">
        <v>625</v>
      </c>
      <c r="E3988" s="1" t="s">
        <v>989</v>
      </c>
      <c r="F3988" s="3">
        <v>0</v>
      </c>
      <c r="G3988" s="8" t="s">
        <v>2771</v>
      </c>
      <c r="H3988" s="8" t="s">
        <v>5162</v>
      </c>
      <c r="I3988" s="3">
        <v>18</v>
      </c>
      <c r="J3988" s="3" t="s">
        <v>5597</v>
      </c>
      <c r="K3988" s="17" t="str">
        <f>HYPERLINK("http://ictvonline.org/taxonomyHistory.asp?taxnode_id=20174397","ICTVonline=20174397")</f>
        <v>ICTVonline=20174397</v>
      </c>
      <c r="L3988" s="3">
        <v>3987</v>
      </c>
    </row>
    <row r="3989" spans="1:12" x14ac:dyDescent="0.15">
      <c r="A3989" s="1" t="s">
        <v>908</v>
      </c>
      <c r="B3989" s="1" t="s">
        <v>954</v>
      </c>
      <c r="D3989" s="1" t="s">
        <v>625</v>
      </c>
      <c r="E3989" s="1" t="s">
        <v>990</v>
      </c>
      <c r="F3989" s="3">
        <v>0</v>
      </c>
      <c r="G3989" s="8" t="s">
        <v>2771</v>
      </c>
      <c r="H3989" s="8" t="s">
        <v>5162</v>
      </c>
      <c r="I3989" s="3">
        <v>18</v>
      </c>
      <c r="J3989" s="3" t="s">
        <v>5597</v>
      </c>
      <c r="K3989" s="17" t="str">
        <f>HYPERLINK("http://ictvonline.org/taxonomyHistory.asp?taxnode_id=20174398","ICTVonline=20174398")</f>
        <v>ICTVonline=20174398</v>
      </c>
      <c r="L3989" s="3">
        <v>3988</v>
      </c>
    </row>
    <row r="3990" spans="1:12" x14ac:dyDescent="0.15">
      <c r="A3990" s="1" t="s">
        <v>908</v>
      </c>
      <c r="B3990" s="1" t="s">
        <v>954</v>
      </c>
      <c r="D3990" s="1" t="s">
        <v>625</v>
      </c>
      <c r="E3990" s="1" t="s">
        <v>991</v>
      </c>
      <c r="F3990" s="3">
        <v>0</v>
      </c>
      <c r="G3990" s="8" t="s">
        <v>2771</v>
      </c>
      <c r="H3990" s="8" t="s">
        <v>5162</v>
      </c>
      <c r="I3990" s="3">
        <v>18</v>
      </c>
      <c r="J3990" s="3" t="s">
        <v>5597</v>
      </c>
      <c r="K3990" s="17" t="str">
        <f>HYPERLINK("http://ictvonline.org/taxonomyHistory.asp?taxnode_id=20174399","ICTVonline=20174399")</f>
        <v>ICTVonline=20174399</v>
      </c>
      <c r="L3990" s="3">
        <v>3989</v>
      </c>
    </row>
    <row r="3991" spans="1:12" x14ac:dyDescent="0.15">
      <c r="A3991" s="1" t="s">
        <v>908</v>
      </c>
      <c r="B3991" s="1" t="s">
        <v>954</v>
      </c>
      <c r="D3991" s="1" t="s">
        <v>625</v>
      </c>
      <c r="E3991" s="1" t="s">
        <v>992</v>
      </c>
      <c r="F3991" s="3">
        <v>0</v>
      </c>
      <c r="G3991" s="8" t="s">
        <v>2771</v>
      </c>
      <c r="H3991" s="8" t="s">
        <v>5162</v>
      </c>
      <c r="I3991" s="3">
        <v>18</v>
      </c>
      <c r="J3991" s="3" t="s">
        <v>5597</v>
      </c>
      <c r="K3991" s="17" t="str">
        <f>HYPERLINK("http://ictvonline.org/taxonomyHistory.asp?taxnode_id=20174400","ICTVonline=20174400")</f>
        <v>ICTVonline=20174400</v>
      </c>
      <c r="L3991" s="3">
        <v>3990</v>
      </c>
    </row>
    <row r="3992" spans="1:12" x14ac:dyDescent="0.15">
      <c r="A3992" s="1" t="s">
        <v>908</v>
      </c>
      <c r="B3992" s="1" t="s">
        <v>954</v>
      </c>
      <c r="D3992" s="1" t="s">
        <v>625</v>
      </c>
      <c r="E3992" s="1" t="s">
        <v>993</v>
      </c>
      <c r="F3992" s="3">
        <v>0</v>
      </c>
      <c r="G3992" s="8" t="s">
        <v>2771</v>
      </c>
      <c r="H3992" s="8" t="s">
        <v>5162</v>
      </c>
      <c r="I3992" s="3">
        <v>18</v>
      </c>
      <c r="J3992" s="3" t="s">
        <v>5597</v>
      </c>
      <c r="K3992" s="17" t="str">
        <f>HYPERLINK("http://ictvonline.org/taxonomyHistory.asp?taxnode_id=20174401","ICTVonline=20174401")</f>
        <v>ICTVonline=20174401</v>
      </c>
      <c r="L3992" s="3">
        <v>3991</v>
      </c>
    </row>
    <row r="3993" spans="1:12" x14ac:dyDescent="0.15">
      <c r="A3993" s="1" t="s">
        <v>908</v>
      </c>
      <c r="B3993" s="1" t="s">
        <v>954</v>
      </c>
      <c r="D3993" s="1" t="s">
        <v>625</v>
      </c>
      <c r="E3993" s="1" t="s">
        <v>994</v>
      </c>
      <c r="F3993" s="3">
        <v>0</v>
      </c>
      <c r="G3993" s="8" t="s">
        <v>2771</v>
      </c>
      <c r="H3993" s="8" t="s">
        <v>5162</v>
      </c>
      <c r="I3993" s="3">
        <v>18</v>
      </c>
      <c r="J3993" s="3" t="s">
        <v>5597</v>
      </c>
      <c r="K3993" s="17" t="str">
        <f>HYPERLINK("http://ictvonline.org/taxonomyHistory.asp?taxnode_id=20174402","ICTVonline=20174402")</f>
        <v>ICTVonline=20174402</v>
      </c>
      <c r="L3993" s="3">
        <v>3992</v>
      </c>
    </row>
    <row r="3994" spans="1:12" x14ac:dyDescent="0.15">
      <c r="A3994" s="1" t="s">
        <v>908</v>
      </c>
      <c r="B3994" s="1" t="s">
        <v>954</v>
      </c>
      <c r="D3994" s="1" t="s">
        <v>625</v>
      </c>
      <c r="E3994" s="1" t="s">
        <v>995</v>
      </c>
      <c r="F3994" s="3">
        <v>0</v>
      </c>
      <c r="G3994" s="8" t="s">
        <v>2771</v>
      </c>
      <c r="H3994" s="8" t="s">
        <v>5162</v>
      </c>
      <c r="I3994" s="3">
        <v>18</v>
      </c>
      <c r="J3994" s="3" t="s">
        <v>5597</v>
      </c>
      <c r="K3994" s="17" t="str">
        <f>HYPERLINK("http://ictvonline.org/taxonomyHistory.asp?taxnode_id=20174403","ICTVonline=20174403")</f>
        <v>ICTVonline=20174403</v>
      </c>
      <c r="L3994" s="3">
        <v>3993</v>
      </c>
    </row>
    <row r="3995" spans="1:12" x14ac:dyDescent="0.15">
      <c r="A3995" s="1" t="s">
        <v>908</v>
      </c>
      <c r="B3995" s="1" t="s">
        <v>954</v>
      </c>
      <c r="D3995" s="1" t="s">
        <v>625</v>
      </c>
      <c r="E3995" s="1" t="s">
        <v>996</v>
      </c>
      <c r="F3995" s="3">
        <v>0</v>
      </c>
      <c r="G3995" s="8" t="s">
        <v>2771</v>
      </c>
      <c r="H3995" s="8" t="s">
        <v>5162</v>
      </c>
      <c r="I3995" s="3">
        <v>18</v>
      </c>
      <c r="J3995" s="3" t="s">
        <v>5597</v>
      </c>
      <c r="K3995" s="17" t="str">
        <f>HYPERLINK("http://ictvonline.org/taxonomyHistory.asp?taxnode_id=20174404","ICTVonline=20174404")</f>
        <v>ICTVonline=20174404</v>
      </c>
      <c r="L3995" s="3">
        <v>3994</v>
      </c>
    </row>
    <row r="3996" spans="1:12" x14ac:dyDescent="0.15">
      <c r="A3996" s="1" t="s">
        <v>908</v>
      </c>
      <c r="B3996" s="1" t="s">
        <v>954</v>
      </c>
      <c r="D3996" s="1" t="s">
        <v>625</v>
      </c>
      <c r="E3996" s="1" t="s">
        <v>997</v>
      </c>
      <c r="F3996" s="3">
        <v>0</v>
      </c>
      <c r="G3996" s="8" t="s">
        <v>2771</v>
      </c>
      <c r="H3996" s="8" t="s">
        <v>5162</v>
      </c>
      <c r="I3996" s="3">
        <v>18</v>
      </c>
      <c r="J3996" s="3" t="s">
        <v>5597</v>
      </c>
      <c r="K3996" s="17" t="str">
        <f>HYPERLINK("http://ictvonline.org/taxonomyHistory.asp?taxnode_id=20174405","ICTVonline=20174405")</f>
        <v>ICTVonline=20174405</v>
      </c>
      <c r="L3996" s="3">
        <v>3995</v>
      </c>
    </row>
    <row r="3997" spans="1:12" x14ac:dyDescent="0.15">
      <c r="A3997" s="1" t="s">
        <v>908</v>
      </c>
      <c r="B3997" s="1" t="s">
        <v>954</v>
      </c>
      <c r="D3997" s="1" t="s">
        <v>625</v>
      </c>
      <c r="E3997" s="1" t="s">
        <v>998</v>
      </c>
      <c r="F3997" s="3">
        <v>0</v>
      </c>
      <c r="G3997" s="8" t="s">
        <v>2771</v>
      </c>
      <c r="H3997" s="8" t="s">
        <v>5162</v>
      </c>
      <c r="I3997" s="3">
        <v>18</v>
      </c>
      <c r="J3997" s="3" t="s">
        <v>5597</v>
      </c>
      <c r="K3997" s="17" t="str">
        <f>HYPERLINK("http://ictvonline.org/taxonomyHistory.asp?taxnode_id=20174406","ICTVonline=20174406")</f>
        <v>ICTVonline=20174406</v>
      </c>
      <c r="L3997" s="3">
        <v>3996</v>
      </c>
    </row>
    <row r="3998" spans="1:12" x14ac:dyDescent="0.15">
      <c r="A3998" s="1" t="s">
        <v>908</v>
      </c>
      <c r="B3998" s="1" t="s">
        <v>954</v>
      </c>
      <c r="D3998" s="1" t="s">
        <v>625</v>
      </c>
      <c r="E3998" s="1" t="s">
        <v>999</v>
      </c>
      <c r="F3998" s="3">
        <v>0</v>
      </c>
      <c r="G3998" s="8" t="s">
        <v>2771</v>
      </c>
      <c r="H3998" s="8" t="s">
        <v>5162</v>
      </c>
      <c r="I3998" s="3">
        <v>18</v>
      </c>
      <c r="J3998" s="3" t="s">
        <v>5597</v>
      </c>
      <c r="K3998" s="17" t="str">
        <f>HYPERLINK("http://ictvonline.org/taxonomyHistory.asp?taxnode_id=20174407","ICTVonline=20174407")</f>
        <v>ICTVonline=20174407</v>
      </c>
      <c r="L3998" s="3">
        <v>3997</v>
      </c>
    </row>
    <row r="3999" spans="1:12" x14ac:dyDescent="0.15">
      <c r="A3999" s="1" t="s">
        <v>908</v>
      </c>
      <c r="B3999" s="1" t="s">
        <v>954</v>
      </c>
      <c r="D3999" s="1" t="s">
        <v>625</v>
      </c>
      <c r="E3999" s="1" t="s">
        <v>1000</v>
      </c>
      <c r="F3999" s="3">
        <v>0</v>
      </c>
      <c r="G3999" s="8" t="s">
        <v>2771</v>
      </c>
      <c r="H3999" s="8" t="s">
        <v>5162</v>
      </c>
      <c r="I3999" s="3">
        <v>18</v>
      </c>
      <c r="J3999" s="3" t="s">
        <v>5597</v>
      </c>
      <c r="K3999" s="17" t="str">
        <f>HYPERLINK("http://ictvonline.org/taxonomyHistory.asp?taxnode_id=20174408","ICTVonline=20174408")</f>
        <v>ICTVonline=20174408</v>
      </c>
      <c r="L3999" s="3">
        <v>3998</v>
      </c>
    </row>
    <row r="4000" spans="1:12" x14ac:dyDescent="0.15">
      <c r="A4000" s="1" t="s">
        <v>908</v>
      </c>
      <c r="B4000" s="1" t="s">
        <v>1001</v>
      </c>
      <c r="D4000" s="1" t="s">
        <v>4067</v>
      </c>
      <c r="E4000" s="1" t="s">
        <v>4068</v>
      </c>
      <c r="F4000" s="3">
        <v>0</v>
      </c>
      <c r="G4000" s="8" t="s">
        <v>2771</v>
      </c>
      <c r="H4000" s="8" t="s">
        <v>5159</v>
      </c>
      <c r="I4000" s="3">
        <v>30</v>
      </c>
      <c r="J4000" s="3" t="s">
        <v>6318</v>
      </c>
      <c r="K4000" s="17" t="str">
        <f>HYPERLINK("http://ictvonline.org/taxonomyHistory.asp?taxnode_id=20174412","ICTVonline=20174412")</f>
        <v>ICTVonline=20174412</v>
      </c>
      <c r="L4000" s="3">
        <v>3999</v>
      </c>
    </row>
    <row r="4001" spans="1:12" x14ac:dyDescent="0.15">
      <c r="A4001" s="1" t="s">
        <v>908</v>
      </c>
      <c r="B4001" s="1" t="s">
        <v>1001</v>
      </c>
      <c r="D4001" s="1" t="s">
        <v>4067</v>
      </c>
      <c r="E4001" s="1" t="s">
        <v>4069</v>
      </c>
      <c r="F4001" s="3">
        <v>0</v>
      </c>
      <c r="G4001" s="8" t="s">
        <v>2771</v>
      </c>
      <c r="H4001" s="8" t="s">
        <v>5159</v>
      </c>
      <c r="I4001" s="3">
        <v>30</v>
      </c>
      <c r="J4001" s="3" t="s">
        <v>6318</v>
      </c>
      <c r="K4001" s="17" t="str">
        <f>HYPERLINK("http://ictvonline.org/taxonomyHistory.asp?taxnode_id=20174413","ICTVonline=20174413")</f>
        <v>ICTVonline=20174413</v>
      </c>
      <c r="L4001" s="3">
        <v>4000</v>
      </c>
    </row>
    <row r="4002" spans="1:12" x14ac:dyDescent="0.15">
      <c r="A4002" s="1" t="s">
        <v>908</v>
      </c>
      <c r="B4002" s="1" t="s">
        <v>1001</v>
      </c>
      <c r="D4002" s="1" t="s">
        <v>4067</v>
      </c>
      <c r="E4002" s="1" t="s">
        <v>4070</v>
      </c>
      <c r="F4002" s="3">
        <v>0</v>
      </c>
      <c r="G4002" s="8" t="s">
        <v>2771</v>
      </c>
      <c r="H4002" s="8" t="s">
        <v>5159</v>
      </c>
      <c r="I4002" s="3">
        <v>30</v>
      </c>
      <c r="J4002" s="3" t="s">
        <v>6318</v>
      </c>
      <c r="K4002" s="17" t="str">
        <f>HYPERLINK("http://ictvonline.org/taxonomyHistory.asp?taxnode_id=20174414","ICTVonline=20174414")</f>
        <v>ICTVonline=20174414</v>
      </c>
      <c r="L4002" s="3">
        <v>4001</v>
      </c>
    </row>
    <row r="4003" spans="1:12" x14ac:dyDescent="0.15">
      <c r="A4003" s="1" t="s">
        <v>908</v>
      </c>
      <c r="B4003" s="1" t="s">
        <v>1001</v>
      </c>
      <c r="D4003" s="1" t="s">
        <v>4067</v>
      </c>
      <c r="E4003" s="1" t="s">
        <v>4071</v>
      </c>
      <c r="F4003" s="3">
        <v>0</v>
      </c>
      <c r="G4003" s="8" t="s">
        <v>2771</v>
      </c>
      <c r="H4003" s="8" t="s">
        <v>5159</v>
      </c>
      <c r="I4003" s="3">
        <v>30</v>
      </c>
      <c r="J4003" s="3" t="s">
        <v>6318</v>
      </c>
      <c r="K4003" s="17" t="str">
        <f>HYPERLINK("http://ictvonline.org/taxonomyHistory.asp?taxnode_id=20174415","ICTVonline=20174415")</f>
        <v>ICTVonline=20174415</v>
      </c>
      <c r="L4003" s="3">
        <v>4002</v>
      </c>
    </row>
    <row r="4004" spans="1:12" x14ac:dyDescent="0.15">
      <c r="A4004" s="1" t="s">
        <v>908</v>
      </c>
      <c r="B4004" s="1" t="s">
        <v>1001</v>
      </c>
      <c r="D4004" s="1" t="s">
        <v>4067</v>
      </c>
      <c r="E4004" s="1" t="s">
        <v>4072</v>
      </c>
      <c r="F4004" s="3">
        <v>0</v>
      </c>
      <c r="G4004" s="8" t="s">
        <v>2771</v>
      </c>
      <c r="H4004" s="8" t="s">
        <v>5159</v>
      </c>
      <c r="I4004" s="3">
        <v>30</v>
      </c>
      <c r="J4004" s="3" t="s">
        <v>6318</v>
      </c>
      <c r="K4004" s="17" t="str">
        <f>HYPERLINK("http://ictvonline.org/taxonomyHistory.asp?taxnode_id=20174416","ICTVonline=20174416")</f>
        <v>ICTVonline=20174416</v>
      </c>
      <c r="L4004" s="3">
        <v>4003</v>
      </c>
    </row>
    <row r="4005" spans="1:12" x14ac:dyDescent="0.15">
      <c r="A4005" s="1" t="s">
        <v>908</v>
      </c>
      <c r="B4005" s="1" t="s">
        <v>1001</v>
      </c>
      <c r="D4005" s="1" t="s">
        <v>4067</v>
      </c>
      <c r="E4005" s="1" t="s">
        <v>4073</v>
      </c>
      <c r="F4005" s="3">
        <v>0</v>
      </c>
      <c r="G4005" s="8" t="s">
        <v>2771</v>
      </c>
      <c r="H4005" s="8" t="s">
        <v>5159</v>
      </c>
      <c r="I4005" s="3">
        <v>30</v>
      </c>
      <c r="J4005" s="3" t="s">
        <v>6318</v>
      </c>
      <c r="K4005" s="17" t="str">
        <f>HYPERLINK("http://ictvonline.org/taxonomyHistory.asp?taxnode_id=20174417","ICTVonline=20174417")</f>
        <v>ICTVonline=20174417</v>
      </c>
      <c r="L4005" s="3">
        <v>4004</v>
      </c>
    </row>
    <row r="4006" spans="1:12" x14ac:dyDescent="0.15">
      <c r="A4006" s="1" t="s">
        <v>908</v>
      </c>
      <c r="B4006" s="1" t="s">
        <v>1001</v>
      </c>
      <c r="D4006" s="1" t="s">
        <v>4067</v>
      </c>
      <c r="E4006" s="1" t="s">
        <v>4074</v>
      </c>
      <c r="F4006" s="3">
        <v>0</v>
      </c>
      <c r="G4006" s="8" t="s">
        <v>2771</v>
      </c>
      <c r="H4006" s="8" t="s">
        <v>5159</v>
      </c>
      <c r="I4006" s="3">
        <v>30</v>
      </c>
      <c r="J4006" s="3" t="s">
        <v>6318</v>
      </c>
      <c r="K4006" s="17" t="str">
        <f>HYPERLINK("http://ictvonline.org/taxonomyHistory.asp?taxnode_id=20174418","ICTVonline=20174418")</f>
        <v>ICTVonline=20174418</v>
      </c>
      <c r="L4006" s="3">
        <v>4005</v>
      </c>
    </row>
    <row r="4007" spans="1:12" x14ac:dyDescent="0.15">
      <c r="A4007" s="1" t="s">
        <v>908</v>
      </c>
      <c r="B4007" s="1" t="s">
        <v>1001</v>
      </c>
      <c r="D4007" s="1" t="s">
        <v>4067</v>
      </c>
      <c r="E4007" s="1" t="s">
        <v>4075</v>
      </c>
      <c r="F4007" s="3">
        <v>0</v>
      </c>
      <c r="G4007" s="8" t="s">
        <v>2771</v>
      </c>
      <c r="H4007" s="8" t="s">
        <v>5159</v>
      </c>
      <c r="I4007" s="3">
        <v>30</v>
      </c>
      <c r="J4007" s="3" t="s">
        <v>6318</v>
      </c>
      <c r="K4007" s="17" t="str">
        <f>HYPERLINK("http://ictvonline.org/taxonomyHistory.asp?taxnode_id=20174419","ICTVonline=20174419")</f>
        <v>ICTVonline=20174419</v>
      </c>
      <c r="L4007" s="3">
        <v>4006</v>
      </c>
    </row>
    <row r="4008" spans="1:12" x14ac:dyDescent="0.15">
      <c r="A4008" s="1" t="s">
        <v>908</v>
      </c>
      <c r="B4008" s="1" t="s">
        <v>1001</v>
      </c>
      <c r="D4008" s="1" t="s">
        <v>4067</v>
      </c>
      <c r="E4008" s="1" t="s">
        <v>4076</v>
      </c>
      <c r="F4008" s="3">
        <v>0</v>
      </c>
      <c r="G4008" s="8" t="s">
        <v>2771</v>
      </c>
      <c r="H4008" s="8" t="s">
        <v>5159</v>
      </c>
      <c r="I4008" s="3">
        <v>30</v>
      </c>
      <c r="J4008" s="3" t="s">
        <v>6318</v>
      </c>
      <c r="K4008" s="17" t="str">
        <f>HYPERLINK("http://ictvonline.org/taxonomyHistory.asp?taxnode_id=20174420","ICTVonline=20174420")</f>
        <v>ICTVonline=20174420</v>
      </c>
      <c r="L4008" s="3">
        <v>4007</v>
      </c>
    </row>
    <row r="4009" spans="1:12" x14ac:dyDescent="0.15">
      <c r="A4009" s="1" t="s">
        <v>908</v>
      </c>
      <c r="B4009" s="1" t="s">
        <v>1001</v>
      </c>
      <c r="D4009" s="1" t="s">
        <v>4067</v>
      </c>
      <c r="E4009" s="1" t="s">
        <v>4077</v>
      </c>
      <c r="F4009" s="3">
        <v>0</v>
      </c>
      <c r="G4009" s="8" t="s">
        <v>2771</v>
      </c>
      <c r="H4009" s="8" t="s">
        <v>5159</v>
      </c>
      <c r="I4009" s="3">
        <v>30</v>
      </c>
      <c r="J4009" s="3" t="s">
        <v>6318</v>
      </c>
      <c r="K4009" s="17" t="str">
        <f>HYPERLINK("http://ictvonline.org/taxonomyHistory.asp?taxnode_id=20174421","ICTVonline=20174421")</f>
        <v>ICTVonline=20174421</v>
      </c>
      <c r="L4009" s="3">
        <v>4008</v>
      </c>
    </row>
    <row r="4010" spans="1:12" x14ac:dyDescent="0.15">
      <c r="A4010" s="1" t="s">
        <v>908</v>
      </c>
      <c r="B4010" s="1" t="s">
        <v>1001</v>
      </c>
      <c r="D4010" s="1" t="s">
        <v>4067</v>
      </c>
      <c r="E4010" s="1" t="s">
        <v>4078</v>
      </c>
      <c r="F4010" s="3">
        <v>0</v>
      </c>
      <c r="G4010" s="8" t="s">
        <v>2771</v>
      </c>
      <c r="H4010" s="8" t="s">
        <v>5159</v>
      </c>
      <c r="I4010" s="3">
        <v>30</v>
      </c>
      <c r="J4010" s="3" t="s">
        <v>6318</v>
      </c>
      <c r="K4010" s="17" t="str">
        <f>HYPERLINK("http://ictvonline.org/taxonomyHistory.asp?taxnode_id=20174422","ICTVonline=20174422")</f>
        <v>ICTVonline=20174422</v>
      </c>
      <c r="L4010" s="3">
        <v>4009</v>
      </c>
    </row>
    <row r="4011" spans="1:12" x14ac:dyDescent="0.15">
      <c r="A4011" s="1" t="s">
        <v>908</v>
      </c>
      <c r="B4011" s="1" t="s">
        <v>1001</v>
      </c>
      <c r="D4011" s="1" t="s">
        <v>4067</v>
      </c>
      <c r="E4011" s="1" t="s">
        <v>4079</v>
      </c>
      <c r="F4011" s="3">
        <v>0</v>
      </c>
      <c r="G4011" s="8" t="s">
        <v>2771</v>
      </c>
      <c r="H4011" s="8" t="s">
        <v>5159</v>
      </c>
      <c r="I4011" s="3">
        <v>30</v>
      </c>
      <c r="J4011" s="3" t="s">
        <v>6318</v>
      </c>
      <c r="K4011" s="17" t="str">
        <f>HYPERLINK("http://ictvonline.org/taxonomyHistory.asp?taxnode_id=20174423","ICTVonline=20174423")</f>
        <v>ICTVonline=20174423</v>
      </c>
      <c r="L4011" s="3">
        <v>4010</v>
      </c>
    </row>
    <row r="4012" spans="1:12" x14ac:dyDescent="0.15">
      <c r="A4012" s="1" t="s">
        <v>908</v>
      </c>
      <c r="B4012" s="1" t="s">
        <v>1001</v>
      </c>
      <c r="D4012" s="1" t="s">
        <v>4067</v>
      </c>
      <c r="E4012" s="1" t="s">
        <v>4080</v>
      </c>
      <c r="F4012" s="3">
        <v>0</v>
      </c>
      <c r="G4012" s="8" t="s">
        <v>2771</v>
      </c>
      <c r="H4012" s="8" t="s">
        <v>5159</v>
      </c>
      <c r="I4012" s="3">
        <v>30</v>
      </c>
      <c r="J4012" s="3" t="s">
        <v>6318</v>
      </c>
      <c r="K4012" s="17" t="str">
        <f>HYPERLINK("http://ictvonline.org/taxonomyHistory.asp?taxnode_id=20174424","ICTVonline=20174424")</f>
        <v>ICTVonline=20174424</v>
      </c>
      <c r="L4012" s="3">
        <v>4011</v>
      </c>
    </row>
    <row r="4013" spans="1:12" x14ac:dyDescent="0.15">
      <c r="A4013" s="1" t="s">
        <v>908</v>
      </c>
      <c r="B4013" s="1" t="s">
        <v>1001</v>
      </c>
      <c r="D4013" s="1" t="s">
        <v>4067</v>
      </c>
      <c r="E4013" s="1" t="s">
        <v>4081</v>
      </c>
      <c r="F4013" s="3">
        <v>0</v>
      </c>
      <c r="G4013" s="8" t="s">
        <v>2771</v>
      </c>
      <c r="H4013" s="8" t="s">
        <v>5159</v>
      </c>
      <c r="I4013" s="3">
        <v>30</v>
      </c>
      <c r="J4013" s="3" t="s">
        <v>6318</v>
      </c>
      <c r="K4013" s="17" t="str">
        <f>HYPERLINK("http://ictvonline.org/taxonomyHistory.asp?taxnode_id=20174425","ICTVonline=20174425")</f>
        <v>ICTVonline=20174425</v>
      </c>
      <c r="L4013" s="3">
        <v>4012</v>
      </c>
    </row>
    <row r="4014" spans="1:12" x14ac:dyDescent="0.15">
      <c r="A4014" s="1" t="s">
        <v>908</v>
      </c>
      <c r="B4014" s="1" t="s">
        <v>1001</v>
      </c>
      <c r="D4014" s="1" t="s">
        <v>4067</v>
      </c>
      <c r="E4014" s="1" t="s">
        <v>4082</v>
      </c>
      <c r="F4014" s="3">
        <v>0</v>
      </c>
      <c r="G4014" s="8" t="s">
        <v>2771</v>
      </c>
      <c r="H4014" s="8" t="s">
        <v>5159</v>
      </c>
      <c r="I4014" s="3">
        <v>30</v>
      </c>
      <c r="J4014" s="3" t="s">
        <v>6318</v>
      </c>
      <c r="K4014" s="17" t="str">
        <f>HYPERLINK("http://ictvonline.org/taxonomyHistory.asp?taxnode_id=20174426","ICTVonline=20174426")</f>
        <v>ICTVonline=20174426</v>
      </c>
      <c r="L4014" s="3">
        <v>4013</v>
      </c>
    </row>
    <row r="4015" spans="1:12" x14ac:dyDescent="0.15">
      <c r="A4015" s="1" t="s">
        <v>908</v>
      </c>
      <c r="B4015" s="1" t="s">
        <v>1001</v>
      </c>
      <c r="D4015" s="1" t="s">
        <v>4067</v>
      </c>
      <c r="E4015" s="1" t="s">
        <v>4083</v>
      </c>
      <c r="F4015" s="3">
        <v>0</v>
      </c>
      <c r="G4015" s="8" t="s">
        <v>2771</v>
      </c>
      <c r="H4015" s="8" t="s">
        <v>5159</v>
      </c>
      <c r="I4015" s="3">
        <v>30</v>
      </c>
      <c r="J4015" s="3" t="s">
        <v>6318</v>
      </c>
      <c r="K4015" s="17" t="str">
        <f>HYPERLINK("http://ictvonline.org/taxonomyHistory.asp?taxnode_id=20174427","ICTVonline=20174427")</f>
        <v>ICTVonline=20174427</v>
      </c>
      <c r="L4015" s="3">
        <v>4014</v>
      </c>
    </row>
    <row r="4016" spans="1:12" x14ac:dyDescent="0.15">
      <c r="A4016" s="1" t="s">
        <v>908</v>
      </c>
      <c r="B4016" s="1" t="s">
        <v>1001</v>
      </c>
      <c r="D4016" s="1" t="s">
        <v>4067</v>
      </c>
      <c r="E4016" s="1" t="s">
        <v>4084</v>
      </c>
      <c r="F4016" s="3">
        <v>0</v>
      </c>
      <c r="G4016" s="8" t="s">
        <v>2771</v>
      </c>
      <c r="H4016" s="8" t="s">
        <v>5159</v>
      </c>
      <c r="I4016" s="3">
        <v>30</v>
      </c>
      <c r="J4016" s="3" t="s">
        <v>6318</v>
      </c>
      <c r="K4016" s="17" t="str">
        <f>HYPERLINK("http://ictvonline.org/taxonomyHistory.asp?taxnode_id=20174428","ICTVonline=20174428")</f>
        <v>ICTVonline=20174428</v>
      </c>
      <c r="L4016" s="3">
        <v>4015</v>
      </c>
    </row>
    <row r="4017" spans="1:12" x14ac:dyDescent="0.15">
      <c r="A4017" s="1" t="s">
        <v>908</v>
      </c>
      <c r="B4017" s="1" t="s">
        <v>1001</v>
      </c>
      <c r="D4017" s="1" t="s">
        <v>4067</v>
      </c>
      <c r="E4017" s="1" t="s">
        <v>4085</v>
      </c>
      <c r="F4017" s="3">
        <v>0</v>
      </c>
      <c r="G4017" s="8" t="s">
        <v>2771</v>
      </c>
      <c r="H4017" s="8" t="s">
        <v>5160</v>
      </c>
      <c r="I4017" s="3">
        <v>30</v>
      </c>
      <c r="J4017" s="3" t="s">
        <v>6318</v>
      </c>
      <c r="K4017" s="17" t="str">
        <f>HYPERLINK("http://ictvonline.org/taxonomyHistory.asp?taxnode_id=20174429","ICTVonline=20174429")</f>
        <v>ICTVonline=20174429</v>
      </c>
      <c r="L4017" s="3">
        <v>4016</v>
      </c>
    </row>
    <row r="4018" spans="1:12" x14ac:dyDescent="0.15">
      <c r="A4018" s="1" t="s">
        <v>908</v>
      </c>
      <c r="B4018" s="1" t="s">
        <v>1001</v>
      </c>
      <c r="D4018" s="1" t="s">
        <v>4067</v>
      </c>
      <c r="E4018" s="1" t="s">
        <v>4086</v>
      </c>
      <c r="F4018" s="3">
        <v>0</v>
      </c>
      <c r="G4018" s="8" t="s">
        <v>2771</v>
      </c>
      <c r="H4018" s="8" t="s">
        <v>5159</v>
      </c>
      <c r="I4018" s="3">
        <v>30</v>
      </c>
      <c r="J4018" s="3" t="s">
        <v>6318</v>
      </c>
      <c r="K4018" s="17" t="str">
        <f>HYPERLINK("http://ictvonline.org/taxonomyHistory.asp?taxnode_id=20174430","ICTVonline=20174430")</f>
        <v>ICTVonline=20174430</v>
      </c>
      <c r="L4018" s="3">
        <v>4017</v>
      </c>
    </row>
    <row r="4019" spans="1:12" x14ac:dyDescent="0.15">
      <c r="A4019" s="1" t="s">
        <v>908</v>
      </c>
      <c r="B4019" s="1" t="s">
        <v>1001</v>
      </c>
      <c r="D4019" s="1" t="s">
        <v>4067</v>
      </c>
      <c r="E4019" s="1" t="s">
        <v>4087</v>
      </c>
      <c r="F4019" s="3">
        <v>1</v>
      </c>
      <c r="G4019" s="8" t="s">
        <v>2771</v>
      </c>
      <c r="H4019" s="8" t="s">
        <v>5160</v>
      </c>
      <c r="I4019" s="3">
        <v>30</v>
      </c>
      <c r="J4019" s="3" t="s">
        <v>6318</v>
      </c>
      <c r="K4019" s="17" t="str">
        <f>HYPERLINK("http://ictvonline.org/taxonomyHistory.asp?taxnode_id=20174431","ICTVonline=20174431")</f>
        <v>ICTVonline=20174431</v>
      </c>
      <c r="L4019" s="3">
        <v>4018</v>
      </c>
    </row>
    <row r="4020" spans="1:12" x14ac:dyDescent="0.15">
      <c r="A4020" s="1" t="s">
        <v>908</v>
      </c>
      <c r="B4020" s="1" t="s">
        <v>1001</v>
      </c>
      <c r="D4020" s="1" t="s">
        <v>4067</v>
      </c>
      <c r="E4020" s="1" t="s">
        <v>4088</v>
      </c>
      <c r="F4020" s="3">
        <v>0</v>
      </c>
      <c r="G4020" s="8" t="s">
        <v>2771</v>
      </c>
      <c r="H4020" s="8" t="s">
        <v>5159</v>
      </c>
      <c r="I4020" s="3">
        <v>30</v>
      </c>
      <c r="J4020" s="3" t="s">
        <v>6318</v>
      </c>
      <c r="K4020" s="17" t="str">
        <f>HYPERLINK("http://ictvonline.org/taxonomyHistory.asp?taxnode_id=20174432","ICTVonline=20174432")</f>
        <v>ICTVonline=20174432</v>
      </c>
      <c r="L4020" s="3">
        <v>4019</v>
      </c>
    </row>
    <row r="4021" spans="1:12" x14ac:dyDescent="0.15">
      <c r="A4021" s="1" t="s">
        <v>908</v>
      </c>
      <c r="B4021" s="1" t="s">
        <v>1001</v>
      </c>
      <c r="D4021" s="1" t="s">
        <v>4067</v>
      </c>
      <c r="E4021" s="1" t="s">
        <v>4089</v>
      </c>
      <c r="F4021" s="3">
        <v>0</v>
      </c>
      <c r="G4021" s="8" t="s">
        <v>2771</v>
      </c>
      <c r="H4021" s="8" t="s">
        <v>5159</v>
      </c>
      <c r="I4021" s="3">
        <v>30</v>
      </c>
      <c r="J4021" s="3" t="s">
        <v>6318</v>
      </c>
      <c r="K4021" s="17" t="str">
        <f>HYPERLINK("http://ictvonline.org/taxonomyHistory.asp?taxnode_id=20174433","ICTVonline=20174433")</f>
        <v>ICTVonline=20174433</v>
      </c>
      <c r="L4021" s="3">
        <v>4020</v>
      </c>
    </row>
    <row r="4022" spans="1:12" x14ac:dyDescent="0.15">
      <c r="A4022" s="1" t="s">
        <v>908</v>
      </c>
      <c r="B4022" s="1" t="s">
        <v>1001</v>
      </c>
      <c r="D4022" s="1" t="s">
        <v>4067</v>
      </c>
      <c r="E4022" s="1" t="s">
        <v>4090</v>
      </c>
      <c r="F4022" s="3">
        <v>0</v>
      </c>
      <c r="G4022" s="8" t="s">
        <v>2771</v>
      </c>
      <c r="H4022" s="8" t="s">
        <v>5159</v>
      </c>
      <c r="I4022" s="3">
        <v>30</v>
      </c>
      <c r="J4022" s="3" t="s">
        <v>6318</v>
      </c>
      <c r="K4022" s="17" t="str">
        <f>HYPERLINK("http://ictvonline.org/taxonomyHistory.asp?taxnode_id=20174434","ICTVonline=20174434")</f>
        <v>ICTVonline=20174434</v>
      </c>
      <c r="L4022" s="3">
        <v>4021</v>
      </c>
    </row>
    <row r="4023" spans="1:12" x14ac:dyDescent="0.15">
      <c r="A4023" s="1" t="s">
        <v>908</v>
      </c>
      <c r="B4023" s="1" t="s">
        <v>1001</v>
      </c>
      <c r="D4023" s="1" t="s">
        <v>4067</v>
      </c>
      <c r="E4023" s="1" t="s">
        <v>4091</v>
      </c>
      <c r="F4023" s="3">
        <v>0</v>
      </c>
      <c r="G4023" s="8" t="s">
        <v>2771</v>
      </c>
      <c r="H4023" s="8" t="s">
        <v>5159</v>
      </c>
      <c r="I4023" s="3">
        <v>30</v>
      </c>
      <c r="J4023" s="3" t="s">
        <v>6318</v>
      </c>
      <c r="K4023" s="17" t="str">
        <f>HYPERLINK("http://ictvonline.org/taxonomyHistory.asp?taxnode_id=20174435","ICTVonline=20174435")</f>
        <v>ICTVonline=20174435</v>
      </c>
      <c r="L4023" s="3">
        <v>4022</v>
      </c>
    </row>
    <row r="4024" spans="1:12" x14ac:dyDescent="0.15">
      <c r="A4024" s="1" t="s">
        <v>908</v>
      </c>
      <c r="B4024" s="1" t="s">
        <v>1001</v>
      </c>
      <c r="D4024" s="1" t="s">
        <v>4067</v>
      </c>
      <c r="E4024" s="1" t="s">
        <v>4092</v>
      </c>
      <c r="F4024" s="3">
        <v>0</v>
      </c>
      <c r="G4024" s="8" t="s">
        <v>2771</v>
      </c>
      <c r="H4024" s="8" t="s">
        <v>5159</v>
      </c>
      <c r="I4024" s="3">
        <v>30</v>
      </c>
      <c r="J4024" s="3" t="s">
        <v>6318</v>
      </c>
      <c r="K4024" s="17" t="str">
        <f>HYPERLINK("http://ictvonline.org/taxonomyHistory.asp?taxnode_id=20174436","ICTVonline=20174436")</f>
        <v>ICTVonline=20174436</v>
      </c>
      <c r="L4024" s="3">
        <v>4023</v>
      </c>
    </row>
    <row r="4025" spans="1:12" x14ac:dyDescent="0.15">
      <c r="A4025" s="1" t="s">
        <v>908</v>
      </c>
      <c r="B4025" s="1" t="s">
        <v>1001</v>
      </c>
      <c r="D4025" s="1" t="s">
        <v>4067</v>
      </c>
      <c r="E4025" s="1" t="s">
        <v>4093</v>
      </c>
      <c r="F4025" s="3">
        <v>0</v>
      </c>
      <c r="G4025" s="8" t="s">
        <v>2771</v>
      </c>
      <c r="H4025" s="8" t="s">
        <v>5159</v>
      </c>
      <c r="I4025" s="3">
        <v>30</v>
      </c>
      <c r="J4025" s="3" t="s">
        <v>6318</v>
      </c>
      <c r="K4025" s="17" t="str">
        <f>HYPERLINK("http://ictvonline.org/taxonomyHistory.asp?taxnode_id=20174437","ICTVonline=20174437")</f>
        <v>ICTVonline=20174437</v>
      </c>
      <c r="L4025" s="3">
        <v>4024</v>
      </c>
    </row>
    <row r="4026" spans="1:12" x14ac:dyDescent="0.15">
      <c r="A4026" s="1" t="s">
        <v>908</v>
      </c>
      <c r="B4026" s="1" t="s">
        <v>1001</v>
      </c>
      <c r="D4026" s="1" t="s">
        <v>4067</v>
      </c>
      <c r="E4026" s="1" t="s">
        <v>4094</v>
      </c>
      <c r="F4026" s="3">
        <v>0</v>
      </c>
      <c r="G4026" s="8" t="s">
        <v>2771</v>
      </c>
      <c r="H4026" s="8" t="s">
        <v>5159</v>
      </c>
      <c r="I4026" s="3">
        <v>30</v>
      </c>
      <c r="J4026" s="3" t="s">
        <v>6318</v>
      </c>
      <c r="K4026" s="17" t="str">
        <f>HYPERLINK("http://ictvonline.org/taxonomyHistory.asp?taxnode_id=20174438","ICTVonline=20174438")</f>
        <v>ICTVonline=20174438</v>
      </c>
      <c r="L4026" s="3">
        <v>4025</v>
      </c>
    </row>
    <row r="4027" spans="1:12" x14ac:dyDescent="0.15">
      <c r="A4027" s="1" t="s">
        <v>908</v>
      </c>
      <c r="B4027" s="1" t="s">
        <v>1001</v>
      </c>
      <c r="D4027" s="1" t="s">
        <v>4067</v>
      </c>
      <c r="E4027" s="1" t="s">
        <v>4095</v>
      </c>
      <c r="F4027" s="3">
        <v>0</v>
      </c>
      <c r="G4027" s="8" t="s">
        <v>2771</v>
      </c>
      <c r="H4027" s="8" t="s">
        <v>5159</v>
      </c>
      <c r="I4027" s="3">
        <v>30</v>
      </c>
      <c r="J4027" s="3" t="s">
        <v>6318</v>
      </c>
      <c r="K4027" s="17" t="str">
        <f>HYPERLINK("http://ictvonline.org/taxonomyHistory.asp?taxnode_id=20174439","ICTVonline=20174439")</f>
        <v>ICTVonline=20174439</v>
      </c>
      <c r="L4027" s="3">
        <v>4026</v>
      </c>
    </row>
    <row r="4028" spans="1:12" x14ac:dyDescent="0.15">
      <c r="A4028" s="1" t="s">
        <v>908</v>
      </c>
      <c r="B4028" s="1" t="s">
        <v>1001</v>
      </c>
      <c r="D4028" s="1" t="s">
        <v>4067</v>
      </c>
      <c r="E4028" s="1" t="s">
        <v>4096</v>
      </c>
      <c r="F4028" s="3">
        <v>0</v>
      </c>
      <c r="G4028" s="8" t="s">
        <v>2771</v>
      </c>
      <c r="H4028" s="8" t="s">
        <v>5159</v>
      </c>
      <c r="I4028" s="3">
        <v>30</v>
      </c>
      <c r="J4028" s="3" t="s">
        <v>6318</v>
      </c>
      <c r="K4028" s="17" t="str">
        <f>HYPERLINK("http://ictvonline.org/taxonomyHistory.asp?taxnode_id=20174440","ICTVonline=20174440")</f>
        <v>ICTVonline=20174440</v>
      </c>
      <c r="L4028" s="3">
        <v>4027</v>
      </c>
    </row>
    <row r="4029" spans="1:12" x14ac:dyDescent="0.15">
      <c r="A4029" s="1" t="s">
        <v>908</v>
      </c>
      <c r="B4029" s="1" t="s">
        <v>1001</v>
      </c>
      <c r="D4029" s="1" t="s">
        <v>4067</v>
      </c>
      <c r="E4029" s="1" t="s">
        <v>4097</v>
      </c>
      <c r="F4029" s="3">
        <v>0</v>
      </c>
      <c r="G4029" s="8" t="s">
        <v>2771</v>
      </c>
      <c r="H4029" s="8" t="s">
        <v>5159</v>
      </c>
      <c r="I4029" s="3">
        <v>30</v>
      </c>
      <c r="J4029" s="3" t="s">
        <v>6318</v>
      </c>
      <c r="K4029" s="17" t="str">
        <f>HYPERLINK("http://ictvonline.org/taxonomyHistory.asp?taxnode_id=20174441","ICTVonline=20174441")</f>
        <v>ICTVonline=20174441</v>
      </c>
      <c r="L4029" s="3">
        <v>4028</v>
      </c>
    </row>
    <row r="4030" spans="1:12" x14ac:dyDescent="0.15">
      <c r="A4030" s="1" t="s">
        <v>908</v>
      </c>
      <c r="B4030" s="1" t="s">
        <v>1001</v>
      </c>
      <c r="D4030" s="1" t="s">
        <v>4067</v>
      </c>
      <c r="E4030" s="1" t="s">
        <v>6319</v>
      </c>
      <c r="F4030" s="3">
        <v>0</v>
      </c>
      <c r="G4030" s="8" t="s">
        <v>2771</v>
      </c>
      <c r="H4030" s="8" t="s">
        <v>5159</v>
      </c>
      <c r="I4030" s="3">
        <v>32</v>
      </c>
      <c r="J4030" s="3" t="s">
        <v>6320</v>
      </c>
      <c r="K4030" s="17" t="str">
        <f>HYPERLINK("http://ictvonline.org/taxonomyHistory.asp?taxnode_id=20175904","ICTVonline=20175904")</f>
        <v>ICTVonline=20175904</v>
      </c>
      <c r="L4030" s="3">
        <v>4029</v>
      </c>
    </row>
    <row r="4031" spans="1:12" x14ac:dyDescent="0.15">
      <c r="A4031" s="1" t="s">
        <v>908</v>
      </c>
      <c r="B4031" s="1" t="s">
        <v>1001</v>
      </c>
      <c r="D4031" s="1" t="s">
        <v>4067</v>
      </c>
      <c r="E4031" s="1" t="s">
        <v>4098</v>
      </c>
      <c r="F4031" s="3">
        <v>0</v>
      </c>
      <c r="G4031" s="8" t="s">
        <v>2771</v>
      </c>
      <c r="H4031" s="8" t="s">
        <v>5159</v>
      </c>
      <c r="I4031" s="3">
        <v>30</v>
      </c>
      <c r="J4031" s="3" t="s">
        <v>6318</v>
      </c>
      <c r="K4031" s="17" t="str">
        <f>HYPERLINK("http://ictvonline.org/taxonomyHistory.asp?taxnode_id=20174442","ICTVonline=20174442")</f>
        <v>ICTVonline=20174442</v>
      </c>
      <c r="L4031" s="3">
        <v>4030</v>
      </c>
    </row>
    <row r="4032" spans="1:12" x14ac:dyDescent="0.15">
      <c r="A4032" s="1" t="s">
        <v>908</v>
      </c>
      <c r="B4032" s="1" t="s">
        <v>1001</v>
      </c>
      <c r="D4032" s="1" t="s">
        <v>4067</v>
      </c>
      <c r="E4032" s="1" t="s">
        <v>4099</v>
      </c>
      <c r="F4032" s="3">
        <v>0</v>
      </c>
      <c r="G4032" s="8" t="s">
        <v>2771</v>
      </c>
      <c r="H4032" s="8" t="s">
        <v>5159</v>
      </c>
      <c r="I4032" s="3">
        <v>30</v>
      </c>
      <c r="J4032" s="3" t="s">
        <v>6318</v>
      </c>
      <c r="K4032" s="17" t="str">
        <f>HYPERLINK("http://ictvonline.org/taxonomyHistory.asp?taxnode_id=20174443","ICTVonline=20174443")</f>
        <v>ICTVonline=20174443</v>
      </c>
      <c r="L4032" s="3">
        <v>4031</v>
      </c>
    </row>
    <row r="4033" spans="1:12" x14ac:dyDescent="0.15">
      <c r="A4033" s="1" t="s">
        <v>908</v>
      </c>
      <c r="B4033" s="1" t="s">
        <v>1001</v>
      </c>
      <c r="D4033" s="1" t="s">
        <v>4067</v>
      </c>
      <c r="E4033" s="1" t="s">
        <v>4100</v>
      </c>
      <c r="F4033" s="3">
        <v>0</v>
      </c>
      <c r="G4033" s="8" t="s">
        <v>2771</v>
      </c>
      <c r="H4033" s="8" t="s">
        <v>5159</v>
      </c>
      <c r="I4033" s="3">
        <v>30</v>
      </c>
      <c r="J4033" s="3" t="s">
        <v>6318</v>
      </c>
      <c r="K4033" s="17" t="str">
        <f>HYPERLINK("http://ictvonline.org/taxonomyHistory.asp?taxnode_id=20174444","ICTVonline=20174444")</f>
        <v>ICTVonline=20174444</v>
      </c>
      <c r="L4033" s="3">
        <v>4032</v>
      </c>
    </row>
    <row r="4034" spans="1:12" x14ac:dyDescent="0.15">
      <c r="A4034" s="1" t="s">
        <v>908</v>
      </c>
      <c r="B4034" s="1" t="s">
        <v>1001</v>
      </c>
      <c r="D4034" s="1" t="s">
        <v>4067</v>
      </c>
      <c r="E4034" s="1" t="s">
        <v>4101</v>
      </c>
      <c r="F4034" s="3">
        <v>0</v>
      </c>
      <c r="G4034" s="8" t="s">
        <v>2771</v>
      </c>
      <c r="H4034" s="8" t="s">
        <v>5159</v>
      </c>
      <c r="I4034" s="3">
        <v>30</v>
      </c>
      <c r="J4034" s="3" t="s">
        <v>6318</v>
      </c>
      <c r="K4034" s="17" t="str">
        <f>HYPERLINK("http://ictvonline.org/taxonomyHistory.asp?taxnode_id=20174445","ICTVonline=20174445")</f>
        <v>ICTVonline=20174445</v>
      </c>
      <c r="L4034" s="3">
        <v>4033</v>
      </c>
    </row>
    <row r="4035" spans="1:12" x14ac:dyDescent="0.15">
      <c r="A4035" s="1" t="s">
        <v>908</v>
      </c>
      <c r="B4035" s="1" t="s">
        <v>1001</v>
      </c>
      <c r="D4035" s="1" t="s">
        <v>4067</v>
      </c>
      <c r="E4035" s="1" t="s">
        <v>4102</v>
      </c>
      <c r="F4035" s="3">
        <v>0</v>
      </c>
      <c r="G4035" s="8" t="s">
        <v>2771</v>
      </c>
      <c r="H4035" s="8" t="s">
        <v>5159</v>
      </c>
      <c r="I4035" s="3">
        <v>30</v>
      </c>
      <c r="J4035" s="3" t="s">
        <v>6318</v>
      </c>
      <c r="K4035" s="17" t="str">
        <f>HYPERLINK("http://ictvonline.org/taxonomyHistory.asp?taxnode_id=20174446","ICTVonline=20174446")</f>
        <v>ICTVonline=20174446</v>
      </c>
      <c r="L4035" s="3">
        <v>4034</v>
      </c>
    </row>
    <row r="4036" spans="1:12" x14ac:dyDescent="0.15">
      <c r="A4036" s="1" t="s">
        <v>908</v>
      </c>
      <c r="B4036" s="1" t="s">
        <v>1001</v>
      </c>
      <c r="D4036" s="1" t="s">
        <v>4067</v>
      </c>
      <c r="E4036" s="1" t="s">
        <v>5052</v>
      </c>
      <c r="F4036" s="3">
        <v>0</v>
      </c>
      <c r="G4036" s="8" t="s">
        <v>2771</v>
      </c>
      <c r="H4036" s="8" t="s">
        <v>5159</v>
      </c>
      <c r="I4036" s="3">
        <v>31</v>
      </c>
      <c r="J4036" s="3" t="s">
        <v>6321</v>
      </c>
      <c r="K4036" s="17" t="str">
        <f>HYPERLINK("http://ictvonline.org/taxonomyHistory.asp?taxnode_id=20174447","ICTVonline=20174447")</f>
        <v>ICTVonline=20174447</v>
      </c>
      <c r="L4036" s="3">
        <v>4035</v>
      </c>
    </row>
    <row r="4037" spans="1:12" x14ac:dyDescent="0.15">
      <c r="A4037" s="1" t="s">
        <v>908</v>
      </c>
      <c r="B4037" s="1" t="s">
        <v>1001</v>
      </c>
      <c r="D4037" s="1" t="s">
        <v>4067</v>
      </c>
      <c r="E4037" s="1" t="s">
        <v>4103</v>
      </c>
      <c r="F4037" s="3">
        <v>0</v>
      </c>
      <c r="G4037" s="8" t="s">
        <v>2771</v>
      </c>
      <c r="H4037" s="8" t="s">
        <v>5159</v>
      </c>
      <c r="I4037" s="3">
        <v>30</v>
      </c>
      <c r="J4037" s="3" t="s">
        <v>6318</v>
      </c>
      <c r="K4037" s="17" t="str">
        <f>HYPERLINK("http://ictvonline.org/taxonomyHistory.asp?taxnode_id=20174448","ICTVonline=20174448")</f>
        <v>ICTVonline=20174448</v>
      </c>
      <c r="L4037" s="3">
        <v>4036</v>
      </c>
    </row>
    <row r="4038" spans="1:12" x14ac:dyDescent="0.15">
      <c r="A4038" s="1" t="s">
        <v>908</v>
      </c>
      <c r="B4038" s="1" t="s">
        <v>1001</v>
      </c>
      <c r="D4038" s="1" t="s">
        <v>4104</v>
      </c>
      <c r="E4038" s="1" t="s">
        <v>4105</v>
      </c>
      <c r="F4038" s="3">
        <v>0</v>
      </c>
      <c r="G4038" s="8" t="s">
        <v>2771</v>
      </c>
      <c r="H4038" s="8" t="s">
        <v>5159</v>
      </c>
      <c r="I4038" s="3">
        <v>30</v>
      </c>
      <c r="J4038" s="3" t="s">
        <v>6318</v>
      </c>
      <c r="K4038" s="17" t="str">
        <f>HYPERLINK("http://ictvonline.org/taxonomyHistory.asp?taxnode_id=20174450","ICTVonline=20174450")</f>
        <v>ICTVonline=20174450</v>
      </c>
      <c r="L4038" s="3">
        <v>4037</v>
      </c>
    </row>
    <row r="4039" spans="1:12" x14ac:dyDescent="0.15">
      <c r="A4039" s="1" t="s">
        <v>908</v>
      </c>
      <c r="B4039" s="1" t="s">
        <v>1001</v>
      </c>
      <c r="D4039" s="1" t="s">
        <v>4104</v>
      </c>
      <c r="E4039" s="1" t="s">
        <v>4106</v>
      </c>
      <c r="F4039" s="3">
        <v>0</v>
      </c>
      <c r="G4039" s="8" t="s">
        <v>2771</v>
      </c>
      <c r="H4039" s="8" t="s">
        <v>5159</v>
      </c>
      <c r="I4039" s="3">
        <v>30</v>
      </c>
      <c r="J4039" s="3" t="s">
        <v>6318</v>
      </c>
      <c r="K4039" s="17" t="str">
        <f>HYPERLINK("http://ictvonline.org/taxonomyHistory.asp?taxnode_id=20174451","ICTVonline=20174451")</f>
        <v>ICTVonline=20174451</v>
      </c>
      <c r="L4039" s="3">
        <v>4038</v>
      </c>
    </row>
    <row r="4040" spans="1:12" x14ac:dyDescent="0.15">
      <c r="A4040" s="1" t="s">
        <v>908</v>
      </c>
      <c r="B4040" s="1" t="s">
        <v>1001</v>
      </c>
      <c r="D4040" s="1" t="s">
        <v>4104</v>
      </c>
      <c r="E4040" s="1" t="s">
        <v>4107</v>
      </c>
      <c r="F4040" s="3">
        <v>0</v>
      </c>
      <c r="G4040" s="8" t="s">
        <v>2771</v>
      </c>
      <c r="H4040" s="8" t="s">
        <v>5159</v>
      </c>
      <c r="I4040" s="3">
        <v>30</v>
      </c>
      <c r="J4040" s="3" t="s">
        <v>6318</v>
      </c>
      <c r="K4040" s="17" t="str">
        <f>HYPERLINK("http://ictvonline.org/taxonomyHistory.asp?taxnode_id=20174452","ICTVonline=20174452")</f>
        <v>ICTVonline=20174452</v>
      </c>
      <c r="L4040" s="3">
        <v>4039</v>
      </c>
    </row>
    <row r="4041" spans="1:12" x14ac:dyDescent="0.15">
      <c r="A4041" s="1" t="s">
        <v>908</v>
      </c>
      <c r="B4041" s="1" t="s">
        <v>1001</v>
      </c>
      <c r="D4041" s="1" t="s">
        <v>4104</v>
      </c>
      <c r="E4041" s="1" t="s">
        <v>4108</v>
      </c>
      <c r="F4041" s="3">
        <v>0</v>
      </c>
      <c r="G4041" s="8" t="s">
        <v>2771</v>
      </c>
      <c r="H4041" s="8" t="s">
        <v>5159</v>
      </c>
      <c r="I4041" s="3">
        <v>30</v>
      </c>
      <c r="J4041" s="3" t="s">
        <v>6318</v>
      </c>
      <c r="K4041" s="17" t="str">
        <f>HYPERLINK("http://ictvonline.org/taxonomyHistory.asp?taxnode_id=20174453","ICTVonline=20174453")</f>
        <v>ICTVonline=20174453</v>
      </c>
      <c r="L4041" s="3">
        <v>4040</v>
      </c>
    </row>
    <row r="4042" spans="1:12" x14ac:dyDescent="0.15">
      <c r="A4042" s="1" t="s">
        <v>908</v>
      </c>
      <c r="B4042" s="1" t="s">
        <v>1001</v>
      </c>
      <c r="D4042" s="1" t="s">
        <v>4104</v>
      </c>
      <c r="E4042" s="1" t="s">
        <v>4109</v>
      </c>
      <c r="F4042" s="3">
        <v>0</v>
      </c>
      <c r="G4042" s="8" t="s">
        <v>2771</v>
      </c>
      <c r="H4042" s="8" t="s">
        <v>5159</v>
      </c>
      <c r="I4042" s="3">
        <v>30</v>
      </c>
      <c r="J4042" s="3" t="s">
        <v>6318</v>
      </c>
      <c r="K4042" s="17" t="str">
        <f>HYPERLINK("http://ictvonline.org/taxonomyHistory.asp?taxnode_id=20174454","ICTVonline=20174454")</f>
        <v>ICTVonline=20174454</v>
      </c>
      <c r="L4042" s="3">
        <v>4041</v>
      </c>
    </row>
    <row r="4043" spans="1:12" x14ac:dyDescent="0.15">
      <c r="A4043" s="1" t="s">
        <v>908</v>
      </c>
      <c r="B4043" s="1" t="s">
        <v>1001</v>
      </c>
      <c r="D4043" s="1" t="s">
        <v>4104</v>
      </c>
      <c r="E4043" s="1" t="s">
        <v>4110</v>
      </c>
      <c r="F4043" s="3">
        <v>0</v>
      </c>
      <c r="G4043" s="8" t="s">
        <v>2771</v>
      </c>
      <c r="H4043" s="8" t="s">
        <v>5159</v>
      </c>
      <c r="I4043" s="3">
        <v>30</v>
      </c>
      <c r="J4043" s="3" t="s">
        <v>6318</v>
      </c>
      <c r="K4043" s="17" t="str">
        <f>HYPERLINK("http://ictvonline.org/taxonomyHistory.asp?taxnode_id=20174455","ICTVonline=20174455")</f>
        <v>ICTVonline=20174455</v>
      </c>
      <c r="L4043" s="3">
        <v>4042</v>
      </c>
    </row>
    <row r="4044" spans="1:12" x14ac:dyDescent="0.15">
      <c r="A4044" s="1" t="s">
        <v>908</v>
      </c>
      <c r="B4044" s="1" t="s">
        <v>1001</v>
      </c>
      <c r="D4044" s="1" t="s">
        <v>4104</v>
      </c>
      <c r="E4044" s="1" t="s">
        <v>4111</v>
      </c>
      <c r="F4044" s="3">
        <v>0</v>
      </c>
      <c r="G4044" s="8" t="s">
        <v>2771</v>
      </c>
      <c r="H4044" s="8" t="s">
        <v>5159</v>
      </c>
      <c r="I4044" s="3">
        <v>30</v>
      </c>
      <c r="J4044" s="3" t="s">
        <v>6318</v>
      </c>
      <c r="K4044" s="17" t="str">
        <f>HYPERLINK("http://ictvonline.org/taxonomyHistory.asp?taxnode_id=20174456","ICTVonline=20174456")</f>
        <v>ICTVonline=20174456</v>
      </c>
      <c r="L4044" s="3">
        <v>4043</v>
      </c>
    </row>
    <row r="4045" spans="1:12" x14ac:dyDescent="0.15">
      <c r="A4045" s="1" t="s">
        <v>908</v>
      </c>
      <c r="B4045" s="1" t="s">
        <v>1001</v>
      </c>
      <c r="D4045" s="1" t="s">
        <v>4104</v>
      </c>
      <c r="E4045" s="1" t="s">
        <v>4112</v>
      </c>
      <c r="F4045" s="3">
        <v>0</v>
      </c>
      <c r="G4045" s="8" t="s">
        <v>2771</v>
      </c>
      <c r="H4045" s="8" t="s">
        <v>5159</v>
      </c>
      <c r="I4045" s="3">
        <v>30</v>
      </c>
      <c r="J4045" s="3" t="s">
        <v>6318</v>
      </c>
      <c r="K4045" s="17" t="str">
        <f>HYPERLINK("http://ictvonline.org/taxonomyHistory.asp?taxnode_id=20174457","ICTVonline=20174457")</f>
        <v>ICTVonline=20174457</v>
      </c>
      <c r="L4045" s="3">
        <v>4044</v>
      </c>
    </row>
    <row r="4046" spans="1:12" x14ac:dyDescent="0.15">
      <c r="A4046" s="1" t="s">
        <v>908</v>
      </c>
      <c r="B4046" s="1" t="s">
        <v>1001</v>
      </c>
      <c r="D4046" s="1" t="s">
        <v>4104</v>
      </c>
      <c r="E4046" s="1" t="s">
        <v>4113</v>
      </c>
      <c r="F4046" s="3">
        <v>0</v>
      </c>
      <c r="G4046" s="8" t="s">
        <v>2771</v>
      </c>
      <c r="H4046" s="8" t="s">
        <v>5159</v>
      </c>
      <c r="I4046" s="3">
        <v>30</v>
      </c>
      <c r="J4046" s="3" t="s">
        <v>6318</v>
      </c>
      <c r="K4046" s="17" t="str">
        <f>HYPERLINK("http://ictvonline.org/taxonomyHistory.asp?taxnode_id=20174458","ICTVonline=20174458")</f>
        <v>ICTVonline=20174458</v>
      </c>
      <c r="L4046" s="3">
        <v>4045</v>
      </c>
    </row>
    <row r="4047" spans="1:12" x14ac:dyDescent="0.15">
      <c r="A4047" s="1" t="s">
        <v>908</v>
      </c>
      <c r="B4047" s="1" t="s">
        <v>1001</v>
      </c>
      <c r="D4047" s="1" t="s">
        <v>4104</v>
      </c>
      <c r="E4047" s="1" t="s">
        <v>4114</v>
      </c>
      <c r="F4047" s="3">
        <v>0</v>
      </c>
      <c r="G4047" s="8" t="s">
        <v>2771</v>
      </c>
      <c r="H4047" s="8" t="s">
        <v>5160</v>
      </c>
      <c r="I4047" s="3">
        <v>30</v>
      </c>
      <c r="J4047" s="3" t="s">
        <v>6318</v>
      </c>
      <c r="K4047" s="17" t="str">
        <f>HYPERLINK("http://ictvonline.org/taxonomyHistory.asp?taxnode_id=20174459","ICTVonline=20174459")</f>
        <v>ICTVonline=20174459</v>
      </c>
      <c r="L4047" s="3">
        <v>4046</v>
      </c>
    </row>
    <row r="4048" spans="1:12" x14ac:dyDescent="0.15">
      <c r="A4048" s="1" t="s">
        <v>908</v>
      </c>
      <c r="B4048" s="1" t="s">
        <v>1001</v>
      </c>
      <c r="D4048" s="1" t="s">
        <v>4104</v>
      </c>
      <c r="E4048" s="1" t="s">
        <v>4115</v>
      </c>
      <c r="F4048" s="3">
        <v>0</v>
      </c>
      <c r="G4048" s="8" t="s">
        <v>2771</v>
      </c>
      <c r="H4048" s="8" t="s">
        <v>5160</v>
      </c>
      <c r="I4048" s="3">
        <v>30</v>
      </c>
      <c r="J4048" s="3" t="s">
        <v>6318</v>
      </c>
      <c r="K4048" s="17" t="str">
        <f>HYPERLINK("http://ictvonline.org/taxonomyHistory.asp?taxnode_id=20174460","ICTVonline=20174460")</f>
        <v>ICTVonline=20174460</v>
      </c>
      <c r="L4048" s="3">
        <v>4047</v>
      </c>
    </row>
    <row r="4049" spans="1:12" x14ac:dyDescent="0.15">
      <c r="A4049" s="1" t="s">
        <v>908</v>
      </c>
      <c r="B4049" s="1" t="s">
        <v>1001</v>
      </c>
      <c r="D4049" s="1" t="s">
        <v>4104</v>
      </c>
      <c r="E4049" s="1" t="s">
        <v>4116</v>
      </c>
      <c r="F4049" s="3">
        <v>0</v>
      </c>
      <c r="G4049" s="8" t="s">
        <v>2771</v>
      </c>
      <c r="H4049" s="8" t="s">
        <v>5159</v>
      </c>
      <c r="I4049" s="3">
        <v>30</v>
      </c>
      <c r="J4049" s="3" t="s">
        <v>6318</v>
      </c>
      <c r="K4049" s="17" t="str">
        <f>HYPERLINK("http://ictvonline.org/taxonomyHistory.asp?taxnode_id=20174461","ICTVonline=20174461")</f>
        <v>ICTVonline=20174461</v>
      </c>
      <c r="L4049" s="3">
        <v>4048</v>
      </c>
    </row>
    <row r="4050" spans="1:12" x14ac:dyDescent="0.15">
      <c r="A4050" s="1" t="s">
        <v>908</v>
      </c>
      <c r="B4050" s="1" t="s">
        <v>1001</v>
      </c>
      <c r="D4050" s="1" t="s">
        <v>4104</v>
      </c>
      <c r="E4050" s="1" t="s">
        <v>4117</v>
      </c>
      <c r="F4050" s="3">
        <v>0</v>
      </c>
      <c r="G4050" s="8" t="s">
        <v>2771</v>
      </c>
      <c r="H4050" s="8" t="s">
        <v>5159</v>
      </c>
      <c r="I4050" s="3">
        <v>30</v>
      </c>
      <c r="J4050" s="3" t="s">
        <v>6318</v>
      </c>
      <c r="K4050" s="17" t="str">
        <f>HYPERLINK("http://ictvonline.org/taxonomyHistory.asp?taxnode_id=20174462","ICTVonline=20174462")</f>
        <v>ICTVonline=20174462</v>
      </c>
      <c r="L4050" s="3">
        <v>4049</v>
      </c>
    </row>
    <row r="4051" spans="1:12" x14ac:dyDescent="0.15">
      <c r="A4051" s="1" t="s">
        <v>908</v>
      </c>
      <c r="B4051" s="1" t="s">
        <v>1001</v>
      </c>
      <c r="D4051" s="1" t="s">
        <v>4104</v>
      </c>
      <c r="E4051" s="1" t="s">
        <v>6322</v>
      </c>
      <c r="F4051" s="3">
        <v>0</v>
      </c>
      <c r="G4051" s="8" t="s">
        <v>2771</v>
      </c>
      <c r="H4051" s="8" t="s">
        <v>5159</v>
      </c>
      <c r="I4051" s="3">
        <v>32</v>
      </c>
      <c r="J4051" s="3" t="s">
        <v>6320</v>
      </c>
      <c r="K4051" s="17" t="str">
        <f>HYPERLINK("http://ictvonline.org/taxonomyHistory.asp?taxnode_id=20175905","ICTVonline=20175905")</f>
        <v>ICTVonline=20175905</v>
      </c>
      <c r="L4051" s="3">
        <v>4050</v>
      </c>
    </row>
    <row r="4052" spans="1:12" x14ac:dyDescent="0.15">
      <c r="A4052" s="1" t="s">
        <v>908</v>
      </c>
      <c r="B4052" s="1" t="s">
        <v>1001</v>
      </c>
      <c r="D4052" s="1" t="s">
        <v>4104</v>
      </c>
      <c r="E4052" s="1" t="s">
        <v>4118</v>
      </c>
      <c r="F4052" s="3">
        <v>0</v>
      </c>
      <c r="G4052" s="8" t="s">
        <v>2771</v>
      </c>
      <c r="H4052" s="8" t="s">
        <v>5159</v>
      </c>
      <c r="I4052" s="3">
        <v>30</v>
      </c>
      <c r="J4052" s="3" t="s">
        <v>6318</v>
      </c>
      <c r="K4052" s="17" t="str">
        <f>HYPERLINK("http://ictvonline.org/taxonomyHistory.asp?taxnode_id=20174463","ICTVonline=20174463")</f>
        <v>ICTVonline=20174463</v>
      </c>
      <c r="L4052" s="3">
        <v>4051</v>
      </c>
    </row>
    <row r="4053" spans="1:12" x14ac:dyDescent="0.15">
      <c r="A4053" s="1" t="s">
        <v>908</v>
      </c>
      <c r="B4053" s="1" t="s">
        <v>1001</v>
      </c>
      <c r="D4053" s="1" t="s">
        <v>4104</v>
      </c>
      <c r="E4053" s="1" t="s">
        <v>4119</v>
      </c>
      <c r="F4053" s="3">
        <v>1</v>
      </c>
      <c r="G4053" s="8" t="s">
        <v>2771</v>
      </c>
      <c r="H4053" s="8" t="s">
        <v>5160</v>
      </c>
      <c r="I4053" s="3">
        <v>30</v>
      </c>
      <c r="J4053" s="3" t="s">
        <v>6318</v>
      </c>
      <c r="K4053" s="17" t="str">
        <f>HYPERLINK("http://ictvonline.org/taxonomyHistory.asp?taxnode_id=20174464","ICTVonline=20174464")</f>
        <v>ICTVonline=20174464</v>
      </c>
      <c r="L4053" s="3">
        <v>4052</v>
      </c>
    </row>
    <row r="4054" spans="1:12" x14ac:dyDescent="0.15">
      <c r="A4054" s="1" t="s">
        <v>908</v>
      </c>
      <c r="B4054" s="1" t="s">
        <v>1001</v>
      </c>
      <c r="D4054" s="1" t="s">
        <v>4104</v>
      </c>
      <c r="E4054" s="1" t="s">
        <v>4120</v>
      </c>
      <c r="F4054" s="3">
        <v>0</v>
      </c>
      <c r="G4054" s="8" t="s">
        <v>2771</v>
      </c>
      <c r="H4054" s="8" t="s">
        <v>5159</v>
      </c>
      <c r="I4054" s="3">
        <v>30</v>
      </c>
      <c r="J4054" s="3" t="s">
        <v>6318</v>
      </c>
      <c r="K4054" s="17" t="str">
        <f>HYPERLINK("http://ictvonline.org/taxonomyHistory.asp?taxnode_id=20174465","ICTVonline=20174465")</f>
        <v>ICTVonline=20174465</v>
      </c>
      <c r="L4054" s="3">
        <v>4053</v>
      </c>
    </row>
    <row r="4055" spans="1:12" x14ac:dyDescent="0.15">
      <c r="A4055" s="1" t="s">
        <v>908</v>
      </c>
      <c r="B4055" s="1" t="s">
        <v>1001</v>
      </c>
      <c r="D4055" s="1" t="s">
        <v>4104</v>
      </c>
      <c r="E4055" s="1" t="s">
        <v>4121</v>
      </c>
      <c r="F4055" s="3">
        <v>0</v>
      </c>
      <c r="G4055" s="8" t="s">
        <v>2771</v>
      </c>
      <c r="H4055" s="8" t="s">
        <v>5159</v>
      </c>
      <c r="I4055" s="3">
        <v>30</v>
      </c>
      <c r="J4055" s="3" t="s">
        <v>6318</v>
      </c>
      <c r="K4055" s="17" t="str">
        <f>HYPERLINK("http://ictvonline.org/taxonomyHistory.asp?taxnode_id=20174466","ICTVonline=20174466")</f>
        <v>ICTVonline=20174466</v>
      </c>
      <c r="L4055" s="3">
        <v>4054</v>
      </c>
    </row>
    <row r="4056" spans="1:12" x14ac:dyDescent="0.15">
      <c r="A4056" s="1" t="s">
        <v>908</v>
      </c>
      <c r="B4056" s="1" t="s">
        <v>1001</v>
      </c>
      <c r="D4056" s="1" t="s">
        <v>4104</v>
      </c>
      <c r="E4056" s="1" t="s">
        <v>5053</v>
      </c>
      <c r="F4056" s="3">
        <v>0</v>
      </c>
      <c r="G4056" s="8" t="s">
        <v>2771</v>
      </c>
      <c r="H4056" s="8" t="s">
        <v>5159</v>
      </c>
      <c r="I4056" s="3">
        <v>31</v>
      </c>
      <c r="J4056" s="3" t="s">
        <v>6323</v>
      </c>
      <c r="K4056" s="17" t="str">
        <f>HYPERLINK("http://ictvonline.org/taxonomyHistory.asp?taxnode_id=20174467","ICTVonline=20174467")</f>
        <v>ICTVonline=20174467</v>
      </c>
      <c r="L4056" s="3">
        <v>4055</v>
      </c>
    </row>
    <row r="4057" spans="1:12" x14ac:dyDescent="0.15">
      <c r="A4057" s="1" t="s">
        <v>908</v>
      </c>
      <c r="B4057" s="1" t="s">
        <v>1001</v>
      </c>
      <c r="D4057" s="1" t="s">
        <v>4104</v>
      </c>
      <c r="E4057" s="1" t="s">
        <v>4122</v>
      </c>
      <c r="F4057" s="3">
        <v>0</v>
      </c>
      <c r="G4057" s="8" t="s">
        <v>2771</v>
      </c>
      <c r="H4057" s="8" t="s">
        <v>5159</v>
      </c>
      <c r="I4057" s="3">
        <v>30</v>
      </c>
      <c r="J4057" s="3" t="s">
        <v>6318</v>
      </c>
      <c r="K4057" s="17" t="str">
        <f>HYPERLINK("http://ictvonline.org/taxonomyHistory.asp?taxnode_id=20174468","ICTVonline=20174468")</f>
        <v>ICTVonline=20174468</v>
      </c>
      <c r="L4057" s="3">
        <v>4056</v>
      </c>
    </row>
    <row r="4058" spans="1:12" x14ac:dyDescent="0.15">
      <c r="A4058" s="1" t="s">
        <v>908</v>
      </c>
      <c r="B4058" s="1" t="s">
        <v>1001</v>
      </c>
      <c r="D4058" s="1" t="s">
        <v>4104</v>
      </c>
      <c r="E4058" s="1" t="s">
        <v>4123</v>
      </c>
      <c r="F4058" s="3">
        <v>0</v>
      </c>
      <c r="G4058" s="8" t="s">
        <v>2771</v>
      </c>
      <c r="H4058" s="8" t="s">
        <v>5160</v>
      </c>
      <c r="I4058" s="3">
        <v>30</v>
      </c>
      <c r="J4058" s="3" t="s">
        <v>6318</v>
      </c>
      <c r="K4058" s="17" t="str">
        <f>HYPERLINK("http://ictvonline.org/taxonomyHistory.asp?taxnode_id=20174469","ICTVonline=20174469")</f>
        <v>ICTVonline=20174469</v>
      </c>
      <c r="L4058" s="3">
        <v>4057</v>
      </c>
    </row>
    <row r="4059" spans="1:12" x14ac:dyDescent="0.15">
      <c r="A4059" s="1" t="s">
        <v>908</v>
      </c>
      <c r="B4059" s="1" t="s">
        <v>1001</v>
      </c>
      <c r="D4059" s="1" t="s">
        <v>4104</v>
      </c>
      <c r="E4059" s="1" t="s">
        <v>5054</v>
      </c>
      <c r="F4059" s="3">
        <v>0</v>
      </c>
      <c r="G4059" s="8" t="s">
        <v>2771</v>
      </c>
      <c r="H4059" s="8" t="s">
        <v>5159</v>
      </c>
      <c r="I4059" s="3">
        <v>31</v>
      </c>
      <c r="J4059" s="3" t="s">
        <v>6323</v>
      </c>
      <c r="K4059" s="17" t="str">
        <f>HYPERLINK("http://ictvonline.org/taxonomyHistory.asp?taxnode_id=20174470","ICTVonline=20174470")</f>
        <v>ICTVonline=20174470</v>
      </c>
      <c r="L4059" s="3">
        <v>4058</v>
      </c>
    </row>
    <row r="4060" spans="1:12" x14ac:dyDescent="0.15">
      <c r="A4060" s="1" t="s">
        <v>908</v>
      </c>
      <c r="B4060" s="1" t="s">
        <v>1001</v>
      </c>
      <c r="D4060" s="1" t="s">
        <v>4104</v>
      </c>
      <c r="E4060" s="1" t="s">
        <v>4124</v>
      </c>
      <c r="F4060" s="3">
        <v>0</v>
      </c>
      <c r="G4060" s="8" t="s">
        <v>2771</v>
      </c>
      <c r="H4060" s="8" t="s">
        <v>5159</v>
      </c>
      <c r="I4060" s="3">
        <v>30</v>
      </c>
      <c r="J4060" s="3" t="s">
        <v>6318</v>
      </c>
      <c r="K4060" s="17" t="str">
        <f>HYPERLINK("http://ictvonline.org/taxonomyHistory.asp?taxnode_id=20174471","ICTVonline=20174471")</f>
        <v>ICTVonline=20174471</v>
      </c>
      <c r="L4060" s="3">
        <v>4059</v>
      </c>
    </row>
    <row r="4061" spans="1:12" x14ac:dyDescent="0.15">
      <c r="A4061" s="1" t="s">
        <v>908</v>
      </c>
      <c r="B4061" s="1" t="s">
        <v>1001</v>
      </c>
      <c r="D4061" s="1" t="s">
        <v>4104</v>
      </c>
      <c r="E4061" s="1" t="s">
        <v>5055</v>
      </c>
      <c r="F4061" s="3">
        <v>0</v>
      </c>
      <c r="G4061" s="8" t="s">
        <v>2771</v>
      </c>
      <c r="H4061" s="8" t="s">
        <v>5159</v>
      </c>
      <c r="I4061" s="3">
        <v>31</v>
      </c>
      <c r="J4061" s="3" t="s">
        <v>6324</v>
      </c>
      <c r="K4061" s="17" t="str">
        <f>HYPERLINK("http://ictvonline.org/taxonomyHistory.asp?taxnode_id=20174472","ICTVonline=20174472")</f>
        <v>ICTVonline=20174472</v>
      </c>
      <c r="L4061" s="3">
        <v>4060</v>
      </c>
    </row>
    <row r="4062" spans="1:12" x14ac:dyDescent="0.15">
      <c r="A4062" s="1" t="s">
        <v>908</v>
      </c>
      <c r="B4062" s="1" t="s">
        <v>1001</v>
      </c>
      <c r="D4062" s="1" t="s">
        <v>4104</v>
      </c>
      <c r="E4062" s="1" t="s">
        <v>4125</v>
      </c>
      <c r="F4062" s="3">
        <v>0</v>
      </c>
      <c r="G4062" s="8" t="s">
        <v>2771</v>
      </c>
      <c r="H4062" s="8" t="s">
        <v>5159</v>
      </c>
      <c r="I4062" s="3">
        <v>30</v>
      </c>
      <c r="J4062" s="3" t="s">
        <v>6318</v>
      </c>
      <c r="K4062" s="17" t="str">
        <f>HYPERLINK("http://ictvonline.org/taxonomyHistory.asp?taxnode_id=20174473","ICTVonline=20174473")</f>
        <v>ICTVonline=20174473</v>
      </c>
      <c r="L4062" s="3">
        <v>4061</v>
      </c>
    </row>
    <row r="4063" spans="1:12" x14ac:dyDescent="0.15">
      <c r="A4063" s="1" t="s">
        <v>908</v>
      </c>
      <c r="B4063" s="1" t="s">
        <v>1001</v>
      </c>
      <c r="D4063" s="1" t="s">
        <v>4104</v>
      </c>
      <c r="E4063" s="1" t="s">
        <v>4126</v>
      </c>
      <c r="F4063" s="3">
        <v>0</v>
      </c>
      <c r="G4063" s="8" t="s">
        <v>2771</v>
      </c>
      <c r="H4063" s="8" t="s">
        <v>5159</v>
      </c>
      <c r="I4063" s="3">
        <v>30</v>
      </c>
      <c r="J4063" s="3" t="s">
        <v>6318</v>
      </c>
      <c r="K4063" s="17" t="str">
        <f>HYPERLINK("http://ictvonline.org/taxonomyHistory.asp?taxnode_id=20174474","ICTVonline=20174474")</f>
        <v>ICTVonline=20174474</v>
      </c>
      <c r="L4063" s="3">
        <v>4062</v>
      </c>
    </row>
    <row r="4064" spans="1:12" x14ac:dyDescent="0.15">
      <c r="A4064" s="1" t="s">
        <v>908</v>
      </c>
      <c r="B4064" s="1" t="s">
        <v>1001</v>
      </c>
      <c r="D4064" s="1" t="s">
        <v>4104</v>
      </c>
      <c r="E4064" s="1" t="s">
        <v>4127</v>
      </c>
      <c r="F4064" s="3">
        <v>0</v>
      </c>
      <c r="G4064" s="8" t="s">
        <v>2771</v>
      </c>
      <c r="H4064" s="8" t="s">
        <v>5159</v>
      </c>
      <c r="I4064" s="3">
        <v>30</v>
      </c>
      <c r="J4064" s="3" t="s">
        <v>6318</v>
      </c>
      <c r="K4064" s="17" t="str">
        <f>HYPERLINK("http://ictvonline.org/taxonomyHistory.asp?taxnode_id=20174475","ICTVonline=20174475")</f>
        <v>ICTVonline=20174475</v>
      </c>
      <c r="L4064" s="3">
        <v>4063</v>
      </c>
    </row>
    <row r="4065" spans="1:12" x14ac:dyDescent="0.15">
      <c r="A4065" s="1" t="s">
        <v>908</v>
      </c>
      <c r="B4065" s="1" t="s">
        <v>1001</v>
      </c>
      <c r="D4065" s="1" t="s">
        <v>4104</v>
      </c>
      <c r="E4065" s="1" t="s">
        <v>6325</v>
      </c>
      <c r="F4065" s="3">
        <v>0</v>
      </c>
      <c r="G4065" s="8" t="s">
        <v>2771</v>
      </c>
      <c r="H4065" s="8" t="s">
        <v>5159</v>
      </c>
      <c r="I4065" s="3">
        <v>32</v>
      </c>
      <c r="J4065" s="3" t="s">
        <v>6320</v>
      </c>
      <c r="K4065" s="17" t="str">
        <f>HYPERLINK("http://ictvonline.org/taxonomyHistory.asp?taxnode_id=20175906","ICTVonline=20175906")</f>
        <v>ICTVonline=20175906</v>
      </c>
      <c r="L4065" s="3">
        <v>4064</v>
      </c>
    </row>
    <row r="4066" spans="1:12" x14ac:dyDescent="0.15">
      <c r="A4066" s="1" t="s">
        <v>908</v>
      </c>
      <c r="B4066" s="1" t="s">
        <v>1001</v>
      </c>
      <c r="D4066" s="1" t="s">
        <v>4104</v>
      </c>
      <c r="E4066" s="1" t="s">
        <v>4128</v>
      </c>
      <c r="F4066" s="3">
        <v>0</v>
      </c>
      <c r="G4066" s="8" t="s">
        <v>2771</v>
      </c>
      <c r="H4066" s="8" t="s">
        <v>5159</v>
      </c>
      <c r="I4066" s="3">
        <v>30</v>
      </c>
      <c r="J4066" s="3" t="s">
        <v>6318</v>
      </c>
      <c r="K4066" s="17" t="str">
        <f>HYPERLINK("http://ictvonline.org/taxonomyHistory.asp?taxnode_id=20174476","ICTVonline=20174476")</f>
        <v>ICTVonline=20174476</v>
      </c>
      <c r="L4066" s="3">
        <v>4065</v>
      </c>
    </row>
    <row r="4067" spans="1:12" x14ac:dyDescent="0.15">
      <c r="A4067" s="1" t="s">
        <v>908</v>
      </c>
      <c r="B4067" s="1" t="s">
        <v>1001</v>
      </c>
      <c r="D4067" s="1" t="s">
        <v>4104</v>
      </c>
      <c r="E4067" s="1" t="s">
        <v>4129</v>
      </c>
      <c r="F4067" s="3">
        <v>0</v>
      </c>
      <c r="G4067" s="8" t="s">
        <v>2771</v>
      </c>
      <c r="H4067" s="8" t="s">
        <v>5159</v>
      </c>
      <c r="I4067" s="3">
        <v>30</v>
      </c>
      <c r="J4067" s="3" t="s">
        <v>6318</v>
      </c>
      <c r="K4067" s="17" t="str">
        <f>HYPERLINK("http://ictvonline.org/taxonomyHistory.asp?taxnode_id=20174477","ICTVonline=20174477")</f>
        <v>ICTVonline=20174477</v>
      </c>
      <c r="L4067" s="3">
        <v>4066</v>
      </c>
    </row>
    <row r="4068" spans="1:12" x14ac:dyDescent="0.15">
      <c r="A4068" s="1" t="s">
        <v>908</v>
      </c>
      <c r="B4068" s="1" t="s">
        <v>1001</v>
      </c>
      <c r="D4068" s="1" t="s">
        <v>4104</v>
      </c>
      <c r="E4068" s="1" t="s">
        <v>6326</v>
      </c>
      <c r="F4068" s="3">
        <v>0</v>
      </c>
      <c r="G4068" s="8" t="s">
        <v>2771</v>
      </c>
      <c r="H4068" s="8" t="s">
        <v>5159</v>
      </c>
      <c r="I4068" s="3">
        <v>32</v>
      </c>
      <c r="J4068" s="3" t="s">
        <v>6320</v>
      </c>
      <c r="K4068" s="17" t="str">
        <f>HYPERLINK("http://ictvonline.org/taxonomyHistory.asp?taxnode_id=20175907","ICTVonline=20175907")</f>
        <v>ICTVonline=20175907</v>
      </c>
      <c r="L4068" s="3">
        <v>4067</v>
      </c>
    </row>
    <row r="4069" spans="1:12" x14ac:dyDescent="0.15">
      <c r="A4069" s="1" t="s">
        <v>908</v>
      </c>
      <c r="B4069" s="1" t="s">
        <v>1001</v>
      </c>
      <c r="D4069" s="1" t="s">
        <v>4104</v>
      </c>
      <c r="E4069" s="1" t="s">
        <v>4130</v>
      </c>
      <c r="F4069" s="3">
        <v>0</v>
      </c>
      <c r="G4069" s="8" t="s">
        <v>2771</v>
      </c>
      <c r="H4069" s="8" t="s">
        <v>5159</v>
      </c>
      <c r="I4069" s="3">
        <v>30</v>
      </c>
      <c r="J4069" s="3" t="s">
        <v>6318</v>
      </c>
      <c r="K4069" s="17" t="str">
        <f>HYPERLINK("http://ictvonline.org/taxonomyHistory.asp?taxnode_id=20174478","ICTVonline=20174478")</f>
        <v>ICTVonline=20174478</v>
      </c>
      <c r="L4069" s="3">
        <v>4068</v>
      </c>
    </row>
    <row r="4070" spans="1:12" x14ac:dyDescent="0.15">
      <c r="A4070" s="1" t="s">
        <v>908</v>
      </c>
      <c r="B4070" s="1" t="s">
        <v>1001</v>
      </c>
      <c r="D4070" s="1" t="s">
        <v>4131</v>
      </c>
      <c r="E4070" s="1" t="s">
        <v>4132</v>
      </c>
      <c r="F4070" s="3">
        <v>1</v>
      </c>
      <c r="G4070" s="8" t="s">
        <v>2771</v>
      </c>
      <c r="H4070" s="8" t="s">
        <v>5159</v>
      </c>
      <c r="I4070" s="3">
        <v>30</v>
      </c>
      <c r="J4070" s="3" t="s">
        <v>6318</v>
      </c>
      <c r="K4070" s="17" t="str">
        <f>HYPERLINK("http://ictvonline.org/taxonomyHistory.asp?taxnode_id=20174480","ICTVonline=20174480")</f>
        <v>ICTVonline=20174480</v>
      </c>
      <c r="L4070" s="3">
        <v>4069</v>
      </c>
    </row>
    <row r="4071" spans="1:12" x14ac:dyDescent="0.15">
      <c r="A4071" s="1" t="s">
        <v>908</v>
      </c>
      <c r="B4071" s="1" t="s">
        <v>1001</v>
      </c>
      <c r="D4071" s="1" t="s">
        <v>4131</v>
      </c>
      <c r="E4071" s="1" t="s">
        <v>4133</v>
      </c>
      <c r="F4071" s="3">
        <v>0</v>
      </c>
      <c r="G4071" s="8" t="s">
        <v>2771</v>
      </c>
      <c r="H4071" s="8" t="s">
        <v>5159</v>
      </c>
      <c r="I4071" s="3">
        <v>30</v>
      </c>
      <c r="J4071" s="3" t="s">
        <v>6318</v>
      </c>
      <c r="K4071" s="17" t="str">
        <f>HYPERLINK("http://ictvonline.org/taxonomyHistory.asp?taxnode_id=20174481","ICTVonline=20174481")</f>
        <v>ICTVonline=20174481</v>
      </c>
      <c r="L4071" s="3">
        <v>4070</v>
      </c>
    </row>
    <row r="4072" spans="1:12" x14ac:dyDescent="0.15">
      <c r="A4072" s="1" t="s">
        <v>908</v>
      </c>
      <c r="B4072" s="1" t="s">
        <v>1001</v>
      </c>
      <c r="D4072" s="1" t="s">
        <v>4131</v>
      </c>
      <c r="E4072" s="1" t="s">
        <v>4134</v>
      </c>
      <c r="F4072" s="3">
        <v>0</v>
      </c>
      <c r="G4072" s="8" t="s">
        <v>2771</v>
      </c>
      <c r="H4072" s="8" t="s">
        <v>5159</v>
      </c>
      <c r="I4072" s="3">
        <v>30</v>
      </c>
      <c r="J4072" s="3" t="s">
        <v>6318</v>
      </c>
      <c r="K4072" s="17" t="str">
        <f>HYPERLINK("http://ictvonline.org/taxonomyHistory.asp?taxnode_id=20174482","ICTVonline=20174482")</f>
        <v>ICTVonline=20174482</v>
      </c>
      <c r="L4072" s="3">
        <v>4071</v>
      </c>
    </row>
    <row r="4073" spans="1:12" x14ac:dyDescent="0.15">
      <c r="A4073" s="1" t="s">
        <v>908</v>
      </c>
      <c r="B4073" s="1" t="s">
        <v>1001</v>
      </c>
      <c r="D4073" s="1" t="s">
        <v>4131</v>
      </c>
      <c r="E4073" s="1" t="s">
        <v>4135</v>
      </c>
      <c r="F4073" s="3">
        <v>0</v>
      </c>
      <c r="G4073" s="8" t="s">
        <v>2771</v>
      </c>
      <c r="H4073" s="8" t="s">
        <v>5159</v>
      </c>
      <c r="I4073" s="3">
        <v>30</v>
      </c>
      <c r="J4073" s="3" t="s">
        <v>6318</v>
      </c>
      <c r="K4073" s="17" t="str">
        <f>HYPERLINK("http://ictvonline.org/taxonomyHistory.asp?taxnode_id=20174483","ICTVonline=20174483")</f>
        <v>ICTVonline=20174483</v>
      </c>
      <c r="L4073" s="3">
        <v>4072</v>
      </c>
    </row>
    <row r="4074" spans="1:12" x14ac:dyDescent="0.15">
      <c r="A4074" s="1" t="s">
        <v>908</v>
      </c>
      <c r="B4074" s="1" t="s">
        <v>1001</v>
      </c>
      <c r="D4074" s="1" t="s">
        <v>4136</v>
      </c>
      <c r="E4074" s="1" t="s">
        <v>4137</v>
      </c>
      <c r="F4074" s="3">
        <v>0</v>
      </c>
      <c r="G4074" s="8" t="s">
        <v>2771</v>
      </c>
      <c r="H4074" s="8" t="s">
        <v>5159</v>
      </c>
      <c r="I4074" s="3">
        <v>30</v>
      </c>
      <c r="J4074" s="3" t="s">
        <v>6318</v>
      </c>
      <c r="K4074" s="17" t="str">
        <f>HYPERLINK("http://ictvonline.org/taxonomyHistory.asp?taxnode_id=20174485","ICTVonline=20174485")</f>
        <v>ICTVonline=20174485</v>
      </c>
      <c r="L4074" s="3">
        <v>4073</v>
      </c>
    </row>
    <row r="4075" spans="1:12" x14ac:dyDescent="0.15">
      <c r="A4075" s="1" t="s">
        <v>908</v>
      </c>
      <c r="B4075" s="1" t="s">
        <v>1001</v>
      </c>
      <c r="D4075" s="1" t="s">
        <v>4136</v>
      </c>
      <c r="E4075" s="1" t="s">
        <v>4138</v>
      </c>
      <c r="F4075" s="3">
        <v>1</v>
      </c>
      <c r="G4075" s="8" t="s">
        <v>2771</v>
      </c>
      <c r="H4075" s="8" t="s">
        <v>5160</v>
      </c>
      <c r="I4075" s="3">
        <v>30</v>
      </c>
      <c r="J4075" s="3" t="s">
        <v>6318</v>
      </c>
      <c r="K4075" s="17" t="str">
        <f>HYPERLINK("http://ictvonline.org/taxonomyHistory.asp?taxnode_id=20174486","ICTVonline=20174486")</f>
        <v>ICTVonline=20174486</v>
      </c>
      <c r="L4075" s="3">
        <v>4074</v>
      </c>
    </row>
    <row r="4076" spans="1:12" x14ac:dyDescent="0.15">
      <c r="A4076" s="1" t="s">
        <v>908</v>
      </c>
      <c r="B4076" s="1" t="s">
        <v>1001</v>
      </c>
      <c r="D4076" s="1" t="s">
        <v>4136</v>
      </c>
      <c r="E4076" s="1" t="s">
        <v>4139</v>
      </c>
      <c r="F4076" s="3">
        <v>0</v>
      </c>
      <c r="G4076" s="8" t="s">
        <v>2771</v>
      </c>
      <c r="H4076" s="8" t="s">
        <v>5159</v>
      </c>
      <c r="I4076" s="3">
        <v>30</v>
      </c>
      <c r="J4076" s="3" t="s">
        <v>6318</v>
      </c>
      <c r="K4076" s="17" t="str">
        <f>HYPERLINK("http://ictvonline.org/taxonomyHistory.asp?taxnode_id=20174487","ICTVonline=20174487")</f>
        <v>ICTVonline=20174487</v>
      </c>
      <c r="L4076" s="3">
        <v>4075</v>
      </c>
    </row>
    <row r="4077" spans="1:12" x14ac:dyDescent="0.15">
      <c r="A4077" s="1" t="s">
        <v>908</v>
      </c>
      <c r="B4077" s="1" t="s">
        <v>1001</v>
      </c>
      <c r="D4077" s="1" t="s">
        <v>4136</v>
      </c>
      <c r="E4077" s="1" t="s">
        <v>4140</v>
      </c>
      <c r="F4077" s="3">
        <v>0</v>
      </c>
      <c r="G4077" s="8" t="s">
        <v>2771</v>
      </c>
      <c r="H4077" s="8" t="s">
        <v>5159</v>
      </c>
      <c r="I4077" s="3">
        <v>30</v>
      </c>
      <c r="J4077" s="3" t="s">
        <v>6318</v>
      </c>
      <c r="K4077" s="17" t="str">
        <f>HYPERLINK("http://ictvonline.org/taxonomyHistory.asp?taxnode_id=20174488","ICTVonline=20174488")</f>
        <v>ICTVonline=20174488</v>
      </c>
      <c r="L4077" s="3">
        <v>4076</v>
      </c>
    </row>
    <row r="4078" spans="1:12" x14ac:dyDescent="0.15">
      <c r="A4078" s="1" t="s">
        <v>908</v>
      </c>
      <c r="B4078" s="1" t="s">
        <v>1001</v>
      </c>
      <c r="D4078" s="1" t="s">
        <v>4136</v>
      </c>
      <c r="E4078" s="1" t="s">
        <v>6327</v>
      </c>
      <c r="F4078" s="3">
        <v>0</v>
      </c>
      <c r="G4078" s="8" t="s">
        <v>2771</v>
      </c>
      <c r="H4078" s="8" t="s">
        <v>5159</v>
      </c>
      <c r="I4078" s="3">
        <v>32</v>
      </c>
      <c r="J4078" s="3" t="s">
        <v>6320</v>
      </c>
      <c r="K4078" s="17" t="str">
        <f>HYPERLINK("http://ictvonline.org/taxonomyHistory.asp?taxnode_id=20175908","ICTVonline=20175908")</f>
        <v>ICTVonline=20175908</v>
      </c>
      <c r="L4078" s="3">
        <v>4077</v>
      </c>
    </row>
    <row r="4079" spans="1:12" x14ac:dyDescent="0.15">
      <c r="A4079" s="1" t="s">
        <v>908</v>
      </c>
      <c r="B4079" s="1" t="s">
        <v>1001</v>
      </c>
      <c r="D4079" s="1" t="s">
        <v>4136</v>
      </c>
      <c r="E4079" s="1" t="s">
        <v>6328</v>
      </c>
      <c r="F4079" s="3">
        <v>0</v>
      </c>
      <c r="G4079" s="8" t="s">
        <v>2771</v>
      </c>
      <c r="H4079" s="8" t="s">
        <v>5159</v>
      </c>
      <c r="I4079" s="3">
        <v>32</v>
      </c>
      <c r="J4079" s="3" t="s">
        <v>6320</v>
      </c>
      <c r="K4079" s="17" t="str">
        <f>HYPERLINK("http://ictvonline.org/taxonomyHistory.asp?taxnode_id=20175909","ICTVonline=20175909")</f>
        <v>ICTVonline=20175909</v>
      </c>
      <c r="L4079" s="3">
        <v>4078</v>
      </c>
    </row>
    <row r="4080" spans="1:12" x14ac:dyDescent="0.15">
      <c r="A4080" s="1" t="s">
        <v>908</v>
      </c>
      <c r="B4080" s="1" t="s">
        <v>1001</v>
      </c>
      <c r="D4080" s="1" t="s">
        <v>4136</v>
      </c>
      <c r="E4080" s="1" t="s">
        <v>4141</v>
      </c>
      <c r="F4080" s="3">
        <v>0</v>
      </c>
      <c r="G4080" s="8" t="s">
        <v>2771</v>
      </c>
      <c r="H4080" s="8" t="s">
        <v>5159</v>
      </c>
      <c r="I4080" s="3">
        <v>30</v>
      </c>
      <c r="J4080" s="3" t="s">
        <v>6318</v>
      </c>
      <c r="K4080" s="17" t="str">
        <f>HYPERLINK("http://ictvonline.org/taxonomyHistory.asp?taxnode_id=20174489","ICTVonline=20174489")</f>
        <v>ICTVonline=20174489</v>
      </c>
      <c r="L4080" s="3">
        <v>4079</v>
      </c>
    </row>
    <row r="4081" spans="1:12" x14ac:dyDescent="0.15">
      <c r="A4081" s="1" t="s">
        <v>908</v>
      </c>
      <c r="B4081" s="1" t="s">
        <v>1001</v>
      </c>
      <c r="D4081" s="1" t="s">
        <v>4136</v>
      </c>
      <c r="E4081" s="1" t="s">
        <v>4142</v>
      </c>
      <c r="F4081" s="3">
        <v>0</v>
      </c>
      <c r="G4081" s="8" t="s">
        <v>2771</v>
      </c>
      <c r="H4081" s="8" t="s">
        <v>5159</v>
      </c>
      <c r="I4081" s="3">
        <v>30</v>
      </c>
      <c r="J4081" s="3" t="s">
        <v>6318</v>
      </c>
      <c r="K4081" s="17" t="str">
        <f>HYPERLINK("http://ictvonline.org/taxonomyHistory.asp?taxnode_id=20174490","ICTVonline=20174490")</f>
        <v>ICTVonline=20174490</v>
      </c>
      <c r="L4081" s="3">
        <v>4080</v>
      </c>
    </row>
    <row r="4082" spans="1:12" x14ac:dyDescent="0.15">
      <c r="A4082" s="1" t="s">
        <v>908</v>
      </c>
      <c r="B4082" s="1" t="s">
        <v>1001</v>
      </c>
      <c r="D4082" s="1" t="s">
        <v>4136</v>
      </c>
      <c r="E4082" s="1" t="s">
        <v>4143</v>
      </c>
      <c r="F4082" s="3">
        <v>0</v>
      </c>
      <c r="G4082" s="8" t="s">
        <v>2771</v>
      </c>
      <c r="H4082" s="8" t="s">
        <v>5159</v>
      </c>
      <c r="I4082" s="3">
        <v>30</v>
      </c>
      <c r="J4082" s="3" t="s">
        <v>6318</v>
      </c>
      <c r="K4082" s="17" t="str">
        <f>HYPERLINK("http://ictvonline.org/taxonomyHistory.asp?taxnode_id=20174491","ICTVonline=20174491")</f>
        <v>ICTVonline=20174491</v>
      </c>
      <c r="L4082" s="3">
        <v>4081</v>
      </c>
    </row>
    <row r="4083" spans="1:12" x14ac:dyDescent="0.15">
      <c r="A4083" s="1" t="s">
        <v>908</v>
      </c>
      <c r="B4083" s="1" t="s">
        <v>1001</v>
      </c>
      <c r="D4083" s="1" t="s">
        <v>908</v>
      </c>
      <c r="E4083" s="1" t="s">
        <v>4144</v>
      </c>
      <c r="F4083" s="3">
        <v>0</v>
      </c>
      <c r="G4083" s="8" t="s">
        <v>2771</v>
      </c>
      <c r="H4083" s="8" t="s">
        <v>5160</v>
      </c>
      <c r="I4083" s="3">
        <v>30</v>
      </c>
      <c r="J4083" s="3" t="s">
        <v>6318</v>
      </c>
      <c r="K4083" s="17" t="str">
        <f>HYPERLINK("http://ictvonline.org/taxonomyHistory.asp?taxnode_id=20174493","ICTVonline=20174493")</f>
        <v>ICTVonline=20174493</v>
      </c>
      <c r="L4083" s="3">
        <v>4082</v>
      </c>
    </row>
    <row r="4084" spans="1:12" x14ac:dyDescent="0.15">
      <c r="A4084" s="1" t="s">
        <v>908</v>
      </c>
      <c r="B4084" s="1" t="s">
        <v>1001</v>
      </c>
      <c r="D4084" s="1" t="s">
        <v>908</v>
      </c>
      <c r="E4084" s="1" t="s">
        <v>4145</v>
      </c>
      <c r="F4084" s="3">
        <v>0</v>
      </c>
      <c r="G4084" s="8" t="s">
        <v>2771</v>
      </c>
      <c r="H4084" s="8" t="s">
        <v>5159</v>
      </c>
      <c r="I4084" s="3">
        <v>30</v>
      </c>
      <c r="J4084" s="3" t="s">
        <v>6318</v>
      </c>
      <c r="K4084" s="17" t="str">
        <f>HYPERLINK("http://ictvonline.org/taxonomyHistory.asp?taxnode_id=20174494","ICTVonline=20174494")</f>
        <v>ICTVonline=20174494</v>
      </c>
      <c r="L4084" s="3">
        <v>4083</v>
      </c>
    </row>
    <row r="4085" spans="1:12" x14ac:dyDescent="0.15">
      <c r="A4085" s="1" t="s">
        <v>908</v>
      </c>
      <c r="B4085" s="1" t="s">
        <v>1001</v>
      </c>
      <c r="D4085" s="1" t="s">
        <v>908</v>
      </c>
      <c r="E4085" s="1" t="s">
        <v>4146</v>
      </c>
      <c r="F4085" s="3">
        <v>0</v>
      </c>
      <c r="G4085" s="8" t="s">
        <v>2771</v>
      </c>
      <c r="H4085" s="8" t="s">
        <v>5159</v>
      </c>
      <c r="I4085" s="3">
        <v>30</v>
      </c>
      <c r="J4085" s="3" t="s">
        <v>6318</v>
      </c>
      <c r="K4085" s="17" t="str">
        <f>HYPERLINK("http://ictvonline.org/taxonomyHistory.asp?taxnode_id=20174495","ICTVonline=20174495")</f>
        <v>ICTVonline=20174495</v>
      </c>
      <c r="L4085" s="3">
        <v>4084</v>
      </c>
    </row>
    <row r="4086" spans="1:12" x14ac:dyDescent="0.15">
      <c r="A4086" s="1" t="s">
        <v>908</v>
      </c>
      <c r="B4086" s="1" t="s">
        <v>1001</v>
      </c>
      <c r="D4086" s="1" t="s">
        <v>908</v>
      </c>
      <c r="E4086" s="1" t="s">
        <v>6329</v>
      </c>
      <c r="F4086" s="3">
        <v>0</v>
      </c>
      <c r="G4086" s="8" t="s">
        <v>2771</v>
      </c>
      <c r="H4086" s="8" t="s">
        <v>5159</v>
      </c>
      <c r="I4086" s="3">
        <v>32</v>
      </c>
      <c r="J4086" s="3" t="s">
        <v>6320</v>
      </c>
      <c r="K4086" s="17" t="str">
        <f>HYPERLINK("http://ictvonline.org/taxonomyHistory.asp?taxnode_id=20175910","ICTVonline=20175910")</f>
        <v>ICTVonline=20175910</v>
      </c>
      <c r="L4086" s="3">
        <v>4085</v>
      </c>
    </row>
    <row r="4087" spans="1:12" x14ac:dyDescent="0.15">
      <c r="A4087" s="1" t="s">
        <v>908</v>
      </c>
      <c r="B4087" s="1" t="s">
        <v>1001</v>
      </c>
      <c r="D4087" s="1" t="s">
        <v>908</v>
      </c>
      <c r="E4087" s="1" t="s">
        <v>6330</v>
      </c>
      <c r="F4087" s="3">
        <v>0</v>
      </c>
      <c r="G4087" s="8" t="s">
        <v>2771</v>
      </c>
      <c r="H4087" s="8" t="s">
        <v>5159</v>
      </c>
      <c r="I4087" s="3">
        <v>32</v>
      </c>
      <c r="J4087" s="3" t="s">
        <v>6320</v>
      </c>
      <c r="K4087" s="17" t="str">
        <f>HYPERLINK("http://ictvonline.org/taxonomyHistory.asp?taxnode_id=20175911","ICTVonline=20175911")</f>
        <v>ICTVonline=20175911</v>
      </c>
      <c r="L4087" s="3">
        <v>4086</v>
      </c>
    </row>
    <row r="4088" spans="1:12" x14ac:dyDescent="0.15">
      <c r="A4088" s="1" t="s">
        <v>908</v>
      </c>
      <c r="B4088" s="1" t="s">
        <v>6331</v>
      </c>
      <c r="D4088" s="1" t="s">
        <v>6332</v>
      </c>
      <c r="E4088" s="1" t="s">
        <v>6333</v>
      </c>
      <c r="F4088" s="3">
        <v>1</v>
      </c>
      <c r="G4088" s="8" t="s">
        <v>2771</v>
      </c>
      <c r="H4088" s="8" t="s">
        <v>5159</v>
      </c>
      <c r="I4088" s="3">
        <v>32</v>
      </c>
      <c r="J4088" s="3" t="s">
        <v>6334</v>
      </c>
      <c r="K4088" s="17" t="str">
        <f>HYPERLINK("http://ictvonline.org/taxonomyHistory.asp?taxnode_id=20175912","ICTVonline=20175912")</f>
        <v>ICTVonline=20175912</v>
      </c>
      <c r="L4088" s="3">
        <v>4087</v>
      </c>
    </row>
    <row r="4089" spans="1:12" x14ac:dyDescent="0.15">
      <c r="A4089" s="1" t="s">
        <v>908</v>
      </c>
      <c r="B4089" s="1" t="s">
        <v>2060</v>
      </c>
      <c r="D4089" s="1" t="s">
        <v>2061</v>
      </c>
      <c r="E4089" s="1" t="s">
        <v>2062</v>
      </c>
      <c r="F4089" s="3">
        <v>0</v>
      </c>
      <c r="G4089" s="8" t="s">
        <v>2775</v>
      </c>
      <c r="H4089" s="8" t="s">
        <v>5159</v>
      </c>
      <c r="I4089" s="3">
        <v>18</v>
      </c>
      <c r="J4089" s="3" t="s">
        <v>5597</v>
      </c>
      <c r="K4089" s="17" t="str">
        <f>HYPERLINK("http://ictvonline.org/taxonomyHistory.asp?taxnode_id=20174499","ICTVonline=20174499")</f>
        <v>ICTVonline=20174499</v>
      </c>
      <c r="L4089" s="3">
        <v>4088</v>
      </c>
    </row>
    <row r="4090" spans="1:12" x14ac:dyDescent="0.15">
      <c r="A4090" s="1" t="s">
        <v>908</v>
      </c>
      <c r="B4090" s="1" t="s">
        <v>2060</v>
      </c>
      <c r="D4090" s="1" t="s">
        <v>2061</v>
      </c>
      <c r="E4090" s="1" t="s">
        <v>2063</v>
      </c>
      <c r="F4090" s="3">
        <v>1</v>
      </c>
      <c r="G4090" s="8" t="s">
        <v>2775</v>
      </c>
      <c r="H4090" s="8" t="s">
        <v>5161</v>
      </c>
      <c r="I4090" s="3">
        <v>17</v>
      </c>
      <c r="J4090" s="3" t="s">
        <v>5970</v>
      </c>
      <c r="K4090" s="17" t="str">
        <f>HYPERLINK("http://ictvonline.org/taxonomyHistory.asp?taxnode_id=20174500","ICTVonline=20174500")</f>
        <v>ICTVonline=20174500</v>
      </c>
      <c r="L4090" s="3">
        <v>4089</v>
      </c>
    </row>
    <row r="4091" spans="1:12" x14ac:dyDescent="0.15">
      <c r="A4091" s="1" t="s">
        <v>908</v>
      </c>
      <c r="B4091" s="1" t="s">
        <v>2060</v>
      </c>
      <c r="D4091" s="1" t="s">
        <v>2061</v>
      </c>
      <c r="E4091" s="1" t="s">
        <v>2064</v>
      </c>
      <c r="F4091" s="3">
        <v>0</v>
      </c>
      <c r="G4091" s="8" t="s">
        <v>2775</v>
      </c>
      <c r="H4091" s="8" t="s">
        <v>5161</v>
      </c>
      <c r="I4091" s="3">
        <v>17</v>
      </c>
      <c r="J4091" s="3" t="s">
        <v>5970</v>
      </c>
      <c r="K4091" s="17" t="str">
        <f>HYPERLINK("http://ictvonline.org/taxonomyHistory.asp?taxnode_id=20174501","ICTVonline=20174501")</f>
        <v>ICTVonline=20174501</v>
      </c>
      <c r="L4091" s="3">
        <v>4090</v>
      </c>
    </row>
    <row r="4092" spans="1:12" x14ac:dyDescent="0.15">
      <c r="A4092" s="1" t="s">
        <v>908</v>
      </c>
      <c r="B4092" s="1" t="s">
        <v>2060</v>
      </c>
      <c r="D4092" s="1" t="s">
        <v>2061</v>
      </c>
      <c r="E4092" s="1" t="s">
        <v>2065</v>
      </c>
      <c r="F4092" s="3">
        <v>0</v>
      </c>
      <c r="G4092" s="8" t="s">
        <v>2775</v>
      </c>
      <c r="H4092" s="8" t="s">
        <v>5161</v>
      </c>
      <c r="I4092" s="3">
        <v>17</v>
      </c>
      <c r="J4092" s="3" t="s">
        <v>5970</v>
      </c>
      <c r="K4092" s="17" t="str">
        <f>HYPERLINK("http://ictvonline.org/taxonomyHistory.asp?taxnode_id=20174502","ICTVonline=20174502")</f>
        <v>ICTVonline=20174502</v>
      </c>
      <c r="L4092" s="3">
        <v>4091</v>
      </c>
    </row>
    <row r="4093" spans="1:12" x14ac:dyDescent="0.15">
      <c r="A4093" s="1" t="s">
        <v>908</v>
      </c>
      <c r="B4093" s="1" t="s">
        <v>2060</v>
      </c>
      <c r="D4093" s="1" t="s">
        <v>2061</v>
      </c>
      <c r="E4093" s="1" t="s">
        <v>2066</v>
      </c>
      <c r="F4093" s="3">
        <v>0</v>
      </c>
      <c r="G4093" s="8" t="s">
        <v>2775</v>
      </c>
      <c r="H4093" s="8" t="s">
        <v>5162</v>
      </c>
      <c r="I4093" s="3">
        <v>24</v>
      </c>
      <c r="J4093" s="3" t="s">
        <v>6335</v>
      </c>
      <c r="K4093" s="17" t="str">
        <f>HYPERLINK("http://ictvonline.org/taxonomyHistory.asp?taxnode_id=20174503","ICTVonline=20174503")</f>
        <v>ICTVonline=20174503</v>
      </c>
      <c r="L4093" s="3">
        <v>4092</v>
      </c>
    </row>
    <row r="4094" spans="1:12" x14ac:dyDescent="0.15">
      <c r="A4094" s="1" t="s">
        <v>908</v>
      </c>
      <c r="B4094" s="1" t="s">
        <v>2060</v>
      </c>
      <c r="D4094" s="1" t="s">
        <v>2061</v>
      </c>
      <c r="E4094" s="1" t="s">
        <v>2166</v>
      </c>
      <c r="F4094" s="3">
        <v>0</v>
      </c>
      <c r="G4094" s="8" t="s">
        <v>2775</v>
      </c>
      <c r="H4094" s="8" t="s">
        <v>5159</v>
      </c>
      <c r="I4094" s="3">
        <v>25</v>
      </c>
      <c r="J4094" s="3" t="s">
        <v>6336</v>
      </c>
      <c r="K4094" s="17" t="str">
        <f>HYPERLINK("http://ictvonline.org/taxonomyHistory.asp?taxnode_id=20174504","ICTVonline=20174504")</f>
        <v>ICTVonline=20174504</v>
      </c>
      <c r="L4094" s="3">
        <v>4093</v>
      </c>
    </row>
    <row r="4095" spans="1:12" x14ac:dyDescent="0.15">
      <c r="A4095" s="1" t="s">
        <v>908</v>
      </c>
      <c r="B4095" s="1" t="s">
        <v>2060</v>
      </c>
      <c r="D4095" s="1" t="s">
        <v>2061</v>
      </c>
      <c r="E4095" s="1" t="s">
        <v>2167</v>
      </c>
      <c r="F4095" s="3">
        <v>0</v>
      </c>
      <c r="G4095" s="8" t="s">
        <v>2775</v>
      </c>
      <c r="H4095" s="8" t="s">
        <v>5159</v>
      </c>
      <c r="I4095" s="3">
        <v>25</v>
      </c>
      <c r="J4095" s="3" t="s">
        <v>6336</v>
      </c>
      <c r="K4095" s="17" t="str">
        <f>HYPERLINK("http://ictvonline.org/taxonomyHistory.asp?taxnode_id=20174505","ICTVonline=20174505")</f>
        <v>ICTVonline=20174505</v>
      </c>
      <c r="L4095" s="3">
        <v>4094</v>
      </c>
    </row>
    <row r="4096" spans="1:12" x14ac:dyDescent="0.15">
      <c r="A4096" s="1" t="s">
        <v>908</v>
      </c>
      <c r="B4096" s="1" t="s">
        <v>2060</v>
      </c>
      <c r="D4096" s="1" t="s">
        <v>2061</v>
      </c>
      <c r="E4096" s="1" t="s">
        <v>2067</v>
      </c>
      <c r="F4096" s="3">
        <v>0</v>
      </c>
      <c r="G4096" s="8" t="s">
        <v>2775</v>
      </c>
      <c r="H4096" s="8" t="s">
        <v>5161</v>
      </c>
      <c r="I4096" s="3">
        <v>17</v>
      </c>
      <c r="J4096" s="3" t="s">
        <v>5970</v>
      </c>
      <c r="K4096" s="17" t="str">
        <f>HYPERLINK("http://ictvonline.org/taxonomyHistory.asp?taxnode_id=20174506","ICTVonline=20174506")</f>
        <v>ICTVonline=20174506</v>
      </c>
      <c r="L4096" s="3">
        <v>4095</v>
      </c>
    </row>
    <row r="4097" spans="1:12" x14ac:dyDescent="0.15">
      <c r="A4097" s="1" t="s">
        <v>908</v>
      </c>
      <c r="B4097" s="1" t="s">
        <v>2060</v>
      </c>
      <c r="D4097" s="1" t="s">
        <v>2061</v>
      </c>
      <c r="E4097" s="1" t="s">
        <v>2068</v>
      </c>
      <c r="F4097" s="3">
        <v>0</v>
      </c>
      <c r="G4097" s="8" t="s">
        <v>2775</v>
      </c>
      <c r="H4097" s="8" t="s">
        <v>5161</v>
      </c>
      <c r="I4097" s="3">
        <v>17</v>
      </c>
      <c r="J4097" s="3" t="s">
        <v>5970</v>
      </c>
      <c r="K4097" s="17" t="str">
        <f>HYPERLINK("http://ictvonline.org/taxonomyHistory.asp?taxnode_id=20174507","ICTVonline=20174507")</f>
        <v>ICTVonline=20174507</v>
      </c>
      <c r="L4097" s="3">
        <v>4096</v>
      </c>
    </row>
    <row r="4098" spans="1:12" x14ac:dyDescent="0.15">
      <c r="A4098" s="1" t="s">
        <v>908</v>
      </c>
      <c r="B4098" s="1" t="s">
        <v>2060</v>
      </c>
      <c r="D4098" s="1" t="s">
        <v>2061</v>
      </c>
      <c r="E4098" s="1" t="s">
        <v>2069</v>
      </c>
      <c r="F4098" s="3">
        <v>0</v>
      </c>
      <c r="G4098" s="8" t="s">
        <v>2775</v>
      </c>
      <c r="H4098" s="8" t="s">
        <v>5161</v>
      </c>
      <c r="I4098" s="3">
        <v>17</v>
      </c>
      <c r="J4098" s="3" t="s">
        <v>5970</v>
      </c>
      <c r="K4098" s="17" t="str">
        <f>HYPERLINK("http://ictvonline.org/taxonomyHistory.asp?taxnode_id=20174508","ICTVonline=20174508")</f>
        <v>ICTVonline=20174508</v>
      </c>
      <c r="L4098" s="3">
        <v>4097</v>
      </c>
    </row>
    <row r="4099" spans="1:12" x14ac:dyDescent="0.15">
      <c r="A4099" s="1" t="s">
        <v>908</v>
      </c>
      <c r="B4099" s="1" t="s">
        <v>2060</v>
      </c>
      <c r="D4099" s="1" t="s">
        <v>2070</v>
      </c>
      <c r="E4099" s="1" t="s">
        <v>2071</v>
      </c>
      <c r="F4099" s="3">
        <v>0</v>
      </c>
      <c r="G4099" s="8" t="s">
        <v>2775</v>
      </c>
      <c r="H4099" s="8" t="s">
        <v>5162</v>
      </c>
      <c r="I4099" s="3">
        <v>24</v>
      </c>
      <c r="J4099" s="3" t="s">
        <v>6337</v>
      </c>
      <c r="K4099" s="17" t="str">
        <f>HYPERLINK("http://ictvonline.org/taxonomyHistory.asp?taxnode_id=20174510","ICTVonline=20174510")</f>
        <v>ICTVonline=20174510</v>
      </c>
      <c r="L4099" s="3">
        <v>4098</v>
      </c>
    </row>
    <row r="4100" spans="1:12" x14ac:dyDescent="0.15">
      <c r="A4100" s="1" t="s">
        <v>908</v>
      </c>
      <c r="B4100" s="1" t="s">
        <v>2060</v>
      </c>
      <c r="D4100" s="1" t="s">
        <v>2070</v>
      </c>
      <c r="E4100" s="1" t="s">
        <v>2072</v>
      </c>
      <c r="F4100" s="3">
        <v>1</v>
      </c>
      <c r="G4100" s="8" t="s">
        <v>2775</v>
      </c>
      <c r="H4100" s="8" t="s">
        <v>5161</v>
      </c>
      <c r="I4100" s="3">
        <v>17</v>
      </c>
      <c r="J4100" s="3" t="s">
        <v>5970</v>
      </c>
      <c r="K4100" s="17" t="str">
        <f>HYPERLINK("http://ictvonline.org/taxonomyHistory.asp?taxnode_id=20174511","ICTVonline=20174511")</f>
        <v>ICTVonline=20174511</v>
      </c>
      <c r="L4100" s="3">
        <v>4099</v>
      </c>
    </row>
    <row r="4101" spans="1:12" x14ac:dyDescent="0.15">
      <c r="A4101" s="1" t="s">
        <v>908</v>
      </c>
      <c r="B4101" s="1" t="s">
        <v>2060</v>
      </c>
      <c r="D4101" s="1" t="s">
        <v>2070</v>
      </c>
      <c r="E4101" s="1" t="s">
        <v>2073</v>
      </c>
      <c r="F4101" s="3">
        <v>0</v>
      </c>
      <c r="G4101" s="8" t="s">
        <v>2775</v>
      </c>
      <c r="H4101" s="8" t="s">
        <v>5161</v>
      </c>
      <c r="I4101" s="3">
        <v>17</v>
      </c>
      <c r="J4101" s="3" t="s">
        <v>5970</v>
      </c>
      <c r="K4101" s="17" t="str">
        <f>HYPERLINK("http://ictvonline.org/taxonomyHistory.asp?taxnode_id=20174512","ICTVonline=20174512")</f>
        <v>ICTVonline=20174512</v>
      </c>
      <c r="L4101" s="3">
        <v>4100</v>
      </c>
    </row>
    <row r="4102" spans="1:12" x14ac:dyDescent="0.15">
      <c r="A4102" s="1" t="s">
        <v>908</v>
      </c>
      <c r="B4102" s="1" t="s">
        <v>2060</v>
      </c>
      <c r="D4102" s="1" t="s">
        <v>2070</v>
      </c>
      <c r="E4102" s="1" t="s">
        <v>2074</v>
      </c>
      <c r="F4102" s="3">
        <v>0</v>
      </c>
      <c r="G4102" s="8" t="s">
        <v>2775</v>
      </c>
      <c r="H4102" s="8" t="s">
        <v>5161</v>
      </c>
      <c r="I4102" s="3">
        <v>17</v>
      </c>
      <c r="J4102" s="3" t="s">
        <v>5970</v>
      </c>
      <c r="K4102" s="17" t="str">
        <f>HYPERLINK("http://ictvonline.org/taxonomyHistory.asp?taxnode_id=20174513","ICTVonline=20174513")</f>
        <v>ICTVonline=20174513</v>
      </c>
      <c r="L4102" s="3">
        <v>4101</v>
      </c>
    </row>
    <row r="4103" spans="1:12" x14ac:dyDescent="0.15">
      <c r="A4103" s="1" t="s">
        <v>908</v>
      </c>
      <c r="B4103" s="1" t="s">
        <v>2060</v>
      </c>
      <c r="D4103" s="1" t="s">
        <v>468</v>
      </c>
      <c r="E4103" s="1" t="s">
        <v>469</v>
      </c>
      <c r="F4103" s="3">
        <v>1</v>
      </c>
      <c r="G4103" s="8" t="s">
        <v>2775</v>
      </c>
      <c r="H4103" s="8" t="s">
        <v>5161</v>
      </c>
      <c r="I4103" s="3">
        <v>17</v>
      </c>
      <c r="J4103" s="3" t="s">
        <v>5970</v>
      </c>
      <c r="K4103" s="17" t="str">
        <f>HYPERLINK("http://ictvonline.org/taxonomyHistory.asp?taxnode_id=20174515","ICTVonline=20174515")</f>
        <v>ICTVonline=20174515</v>
      </c>
      <c r="L4103" s="3">
        <v>4102</v>
      </c>
    </row>
    <row r="4104" spans="1:12" x14ac:dyDescent="0.15">
      <c r="A4104" s="1" t="s">
        <v>908</v>
      </c>
      <c r="B4104" s="1" t="s">
        <v>2060</v>
      </c>
      <c r="D4104" s="1" t="s">
        <v>468</v>
      </c>
      <c r="E4104" s="1" t="s">
        <v>470</v>
      </c>
      <c r="F4104" s="3">
        <v>0</v>
      </c>
      <c r="G4104" s="8" t="s">
        <v>2775</v>
      </c>
      <c r="H4104" s="8" t="s">
        <v>5159</v>
      </c>
      <c r="I4104" s="3">
        <v>18</v>
      </c>
      <c r="J4104" s="3" t="s">
        <v>5597</v>
      </c>
      <c r="K4104" s="17" t="str">
        <f>HYPERLINK("http://ictvonline.org/taxonomyHistory.asp?taxnode_id=20174516","ICTVonline=20174516")</f>
        <v>ICTVonline=20174516</v>
      </c>
      <c r="L4104" s="3">
        <v>4103</v>
      </c>
    </row>
    <row r="4105" spans="1:12" x14ac:dyDescent="0.15">
      <c r="A4105" s="1" t="s">
        <v>908</v>
      </c>
      <c r="B4105" s="1" t="s">
        <v>2060</v>
      </c>
      <c r="D4105" s="1" t="s">
        <v>468</v>
      </c>
      <c r="E4105" s="1" t="s">
        <v>471</v>
      </c>
      <c r="F4105" s="3">
        <v>0</v>
      </c>
      <c r="G4105" s="8" t="s">
        <v>2775</v>
      </c>
      <c r="H4105" s="8" t="s">
        <v>5159</v>
      </c>
      <c r="I4105" s="3">
        <v>18</v>
      </c>
      <c r="J4105" s="3" t="s">
        <v>5597</v>
      </c>
      <c r="K4105" s="17" t="str">
        <f>HYPERLINK("http://ictvonline.org/taxonomyHistory.asp?taxnode_id=20174517","ICTVonline=20174517")</f>
        <v>ICTVonline=20174517</v>
      </c>
      <c r="L4105" s="3">
        <v>4104</v>
      </c>
    </row>
    <row r="4106" spans="1:12" x14ac:dyDescent="0.15">
      <c r="A4106" s="1" t="s">
        <v>908</v>
      </c>
      <c r="B4106" s="1" t="s">
        <v>2060</v>
      </c>
      <c r="D4106" s="1" t="s">
        <v>472</v>
      </c>
      <c r="E4106" s="1" t="s">
        <v>2719</v>
      </c>
      <c r="F4106" s="3">
        <v>0</v>
      </c>
      <c r="G4106" s="8" t="s">
        <v>2775</v>
      </c>
      <c r="H4106" s="8" t="s">
        <v>5159</v>
      </c>
      <c r="I4106" s="3">
        <v>29</v>
      </c>
      <c r="J4106" s="3" t="s">
        <v>6338</v>
      </c>
      <c r="K4106" s="17" t="str">
        <f>HYPERLINK("http://ictvonline.org/taxonomyHistory.asp?taxnode_id=20174519","ICTVonline=20174519")</f>
        <v>ICTVonline=20174519</v>
      </c>
      <c r="L4106" s="3">
        <v>4105</v>
      </c>
    </row>
    <row r="4107" spans="1:12" x14ac:dyDescent="0.15">
      <c r="A4107" s="1" t="s">
        <v>908</v>
      </c>
      <c r="B4107" s="1" t="s">
        <v>2060</v>
      </c>
      <c r="D4107" s="1" t="s">
        <v>472</v>
      </c>
      <c r="E4107" s="1" t="s">
        <v>473</v>
      </c>
      <c r="F4107" s="3">
        <v>1</v>
      </c>
      <c r="G4107" s="8" t="s">
        <v>2775</v>
      </c>
      <c r="H4107" s="8" t="s">
        <v>5161</v>
      </c>
      <c r="I4107" s="3">
        <v>17</v>
      </c>
      <c r="J4107" s="3" t="s">
        <v>5970</v>
      </c>
      <c r="K4107" s="17" t="str">
        <f>HYPERLINK("http://ictvonline.org/taxonomyHistory.asp?taxnode_id=20174520","ICTVonline=20174520")</f>
        <v>ICTVonline=20174520</v>
      </c>
      <c r="L4107" s="3">
        <v>4106</v>
      </c>
    </row>
    <row r="4108" spans="1:12" x14ac:dyDescent="0.15">
      <c r="A4108" s="1" t="s">
        <v>908</v>
      </c>
      <c r="B4108" s="1" t="s">
        <v>2060</v>
      </c>
      <c r="D4108" s="1" t="s">
        <v>474</v>
      </c>
      <c r="E4108" s="1" t="s">
        <v>475</v>
      </c>
      <c r="F4108" s="3">
        <v>0</v>
      </c>
      <c r="G4108" s="8" t="s">
        <v>2775</v>
      </c>
      <c r="H4108" s="8" t="s">
        <v>5161</v>
      </c>
      <c r="I4108" s="3">
        <v>17</v>
      </c>
      <c r="J4108" s="3" t="s">
        <v>5970</v>
      </c>
      <c r="K4108" s="17" t="str">
        <f>HYPERLINK("http://ictvonline.org/taxonomyHistory.asp?taxnode_id=20174522","ICTVonline=20174522")</f>
        <v>ICTVonline=20174522</v>
      </c>
      <c r="L4108" s="3">
        <v>4107</v>
      </c>
    </row>
    <row r="4109" spans="1:12" x14ac:dyDescent="0.15">
      <c r="A4109" s="1" t="s">
        <v>908</v>
      </c>
      <c r="B4109" s="1" t="s">
        <v>2060</v>
      </c>
      <c r="D4109" s="1" t="s">
        <v>474</v>
      </c>
      <c r="E4109" s="1" t="s">
        <v>476</v>
      </c>
      <c r="F4109" s="3">
        <v>0</v>
      </c>
      <c r="G4109" s="8" t="s">
        <v>2775</v>
      </c>
      <c r="H4109" s="8" t="s">
        <v>5161</v>
      </c>
      <c r="I4109" s="3">
        <v>17</v>
      </c>
      <c r="J4109" s="3" t="s">
        <v>5970</v>
      </c>
      <c r="K4109" s="17" t="str">
        <f>HYPERLINK("http://ictvonline.org/taxonomyHistory.asp?taxnode_id=20174523","ICTVonline=20174523")</f>
        <v>ICTVonline=20174523</v>
      </c>
      <c r="L4109" s="3">
        <v>4108</v>
      </c>
    </row>
    <row r="4110" spans="1:12" x14ac:dyDescent="0.15">
      <c r="A4110" s="1" t="s">
        <v>908</v>
      </c>
      <c r="B4110" s="1" t="s">
        <v>2060</v>
      </c>
      <c r="D4110" s="1" t="s">
        <v>474</v>
      </c>
      <c r="E4110" s="1" t="s">
        <v>477</v>
      </c>
      <c r="F4110" s="3">
        <v>0</v>
      </c>
      <c r="G4110" s="8" t="s">
        <v>2775</v>
      </c>
      <c r="H4110" s="8" t="s">
        <v>5161</v>
      </c>
      <c r="I4110" s="3">
        <v>17</v>
      </c>
      <c r="J4110" s="3" t="s">
        <v>5970</v>
      </c>
      <c r="K4110" s="17" t="str">
        <f>HYPERLINK("http://ictvonline.org/taxonomyHistory.asp?taxnode_id=20174524","ICTVonline=20174524")</f>
        <v>ICTVonline=20174524</v>
      </c>
      <c r="L4110" s="3">
        <v>4109</v>
      </c>
    </row>
    <row r="4111" spans="1:12" x14ac:dyDescent="0.15">
      <c r="A4111" s="1" t="s">
        <v>908</v>
      </c>
      <c r="B4111" s="1" t="s">
        <v>2060</v>
      </c>
      <c r="D4111" s="1" t="s">
        <v>474</v>
      </c>
      <c r="E4111" s="1" t="s">
        <v>478</v>
      </c>
      <c r="F4111" s="3">
        <v>0</v>
      </c>
      <c r="G4111" s="8" t="s">
        <v>2775</v>
      </c>
      <c r="H4111" s="8" t="s">
        <v>5159</v>
      </c>
      <c r="I4111" s="3">
        <v>18</v>
      </c>
      <c r="J4111" s="3" t="s">
        <v>5597</v>
      </c>
      <c r="K4111" s="17" t="str">
        <f>HYPERLINK("http://ictvonline.org/taxonomyHistory.asp?taxnode_id=20174525","ICTVonline=20174525")</f>
        <v>ICTVonline=20174525</v>
      </c>
      <c r="L4111" s="3">
        <v>4110</v>
      </c>
    </row>
    <row r="4112" spans="1:12" x14ac:dyDescent="0.15">
      <c r="A4112" s="1" t="s">
        <v>908</v>
      </c>
      <c r="B4112" s="1" t="s">
        <v>2060</v>
      </c>
      <c r="D4112" s="1" t="s">
        <v>474</v>
      </c>
      <c r="E4112" s="1" t="s">
        <v>194</v>
      </c>
      <c r="F4112" s="3">
        <v>0</v>
      </c>
      <c r="G4112" s="8" t="s">
        <v>2775</v>
      </c>
      <c r="H4112" s="8" t="s">
        <v>5159</v>
      </c>
      <c r="I4112" s="3">
        <v>26</v>
      </c>
      <c r="J4112" s="3" t="s">
        <v>6339</v>
      </c>
      <c r="K4112" s="17" t="str">
        <f>HYPERLINK("http://ictvonline.org/taxonomyHistory.asp?taxnode_id=20174526","ICTVonline=20174526")</f>
        <v>ICTVonline=20174526</v>
      </c>
      <c r="L4112" s="3">
        <v>4111</v>
      </c>
    </row>
    <row r="4113" spans="1:12" x14ac:dyDescent="0.15">
      <c r="A4113" s="1" t="s">
        <v>908</v>
      </c>
      <c r="B4113" s="1" t="s">
        <v>2060</v>
      </c>
      <c r="D4113" s="1" t="s">
        <v>474</v>
      </c>
      <c r="E4113" s="1" t="s">
        <v>479</v>
      </c>
      <c r="F4113" s="3">
        <v>1</v>
      </c>
      <c r="G4113" s="8" t="s">
        <v>2775</v>
      </c>
      <c r="H4113" s="8" t="s">
        <v>5161</v>
      </c>
      <c r="I4113" s="3">
        <v>17</v>
      </c>
      <c r="J4113" s="3" t="s">
        <v>5970</v>
      </c>
      <c r="K4113" s="17" t="str">
        <f>HYPERLINK("http://ictvonline.org/taxonomyHistory.asp?taxnode_id=20174527","ICTVonline=20174527")</f>
        <v>ICTVonline=20174527</v>
      </c>
      <c r="L4113" s="3">
        <v>4112</v>
      </c>
    </row>
    <row r="4114" spans="1:12" x14ac:dyDescent="0.15">
      <c r="A4114" s="1" t="s">
        <v>908</v>
      </c>
      <c r="B4114" s="1" t="s">
        <v>2060</v>
      </c>
      <c r="D4114" s="1" t="s">
        <v>474</v>
      </c>
      <c r="E4114" s="1" t="s">
        <v>480</v>
      </c>
      <c r="F4114" s="3">
        <v>0</v>
      </c>
      <c r="G4114" s="8" t="s">
        <v>2775</v>
      </c>
      <c r="H4114" s="8" t="s">
        <v>5161</v>
      </c>
      <c r="I4114" s="3">
        <v>17</v>
      </c>
      <c r="J4114" s="3" t="s">
        <v>5970</v>
      </c>
      <c r="K4114" s="17" t="str">
        <f>HYPERLINK("http://ictvonline.org/taxonomyHistory.asp?taxnode_id=20174528","ICTVonline=20174528")</f>
        <v>ICTVonline=20174528</v>
      </c>
      <c r="L4114" s="3">
        <v>4113</v>
      </c>
    </row>
    <row r="4115" spans="1:12" x14ac:dyDescent="0.15">
      <c r="A4115" s="1" t="s">
        <v>908</v>
      </c>
      <c r="B4115" s="1" t="s">
        <v>2060</v>
      </c>
      <c r="D4115" s="1" t="s">
        <v>474</v>
      </c>
      <c r="E4115" s="1" t="s">
        <v>481</v>
      </c>
      <c r="F4115" s="3">
        <v>0</v>
      </c>
      <c r="G4115" s="8" t="s">
        <v>2775</v>
      </c>
      <c r="H4115" s="8" t="s">
        <v>5159</v>
      </c>
      <c r="I4115" s="3">
        <v>20</v>
      </c>
      <c r="J4115" s="3" t="s">
        <v>5628</v>
      </c>
      <c r="K4115" s="17" t="str">
        <f>HYPERLINK("http://ictvonline.org/taxonomyHistory.asp?taxnode_id=20174529","ICTVonline=20174529")</f>
        <v>ICTVonline=20174529</v>
      </c>
      <c r="L4115" s="3">
        <v>4114</v>
      </c>
    </row>
    <row r="4116" spans="1:12" x14ac:dyDescent="0.15">
      <c r="A4116" s="1" t="s">
        <v>908</v>
      </c>
      <c r="B4116" s="1" t="s">
        <v>2060</v>
      </c>
      <c r="D4116" s="1" t="s">
        <v>474</v>
      </c>
      <c r="E4116" s="1" t="s">
        <v>482</v>
      </c>
      <c r="F4116" s="3">
        <v>0</v>
      </c>
      <c r="G4116" s="8" t="s">
        <v>2775</v>
      </c>
      <c r="H4116" s="8" t="s">
        <v>5168</v>
      </c>
      <c r="I4116" s="3">
        <v>29</v>
      </c>
      <c r="J4116" s="3" t="s">
        <v>6340</v>
      </c>
      <c r="K4116" s="17" t="str">
        <f>HYPERLINK("http://ictvonline.org/taxonomyHistory.asp?taxnode_id=20174530","ICTVonline=20174530")</f>
        <v>ICTVonline=20174530</v>
      </c>
      <c r="L4116" s="3">
        <v>4115</v>
      </c>
    </row>
    <row r="4117" spans="1:12" x14ac:dyDescent="0.15">
      <c r="A4117" s="1" t="s">
        <v>908</v>
      </c>
      <c r="B4117" s="1" t="s">
        <v>483</v>
      </c>
      <c r="D4117" s="1" t="s">
        <v>6341</v>
      </c>
      <c r="E4117" s="1" t="s">
        <v>6342</v>
      </c>
      <c r="F4117" s="3">
        <v>1</v>
      </c>
      <c r="G4117" s="8" t="s">
        <v>2773</v>
      </c>
      <c r="H4117" s="8" t="s">
        <v>5159</v>
      </c>
      <c r="I4117" s="3">
        <v>32</v>
      </c>
      <c r="J4117" s="3" t="s">
        <v>6343</v>
      </c>
      <c r="K4117" s="17" t="str">
        <f>HYPERLINK("http://ictvonline.org/taxonomyHistory.asp?taxnode_id=20175915","ICTVonline=20175915")</f>
        <v>ICTVonline=20175915</v>
      </c>
      <c r="L4117" s="3">
        <v>4116</v>
      </c>
    </row>
    <row r="4118" spans="1:12" x14ac:dyDescent="0.15">
      <c r="A4118" s="1" t="s">
        <v>908</v>
      </c>
      <c r="B4118" s="1" t="s">
        <v>483</v>
      </c>
      <c r="D4118" s="1" t="s">
        <v>551</v>
      </c>
      <c r="E4118" s="1" t="s">
        <v>552</v>
      </c>
      <c r="F4118" s="3">
        <v>1</v>
      </c>
      <c r="G4118" s="8" t="s">
        <v>2773</v>
      </c>
      <c r="H4118" s="8" t="s">
        <v>5164</v>
      </c>
      <c r="I4118" s="3">
        <v>25</v>
      </c>
      <c r="J4118" s="3" t="s">
        <v>6344</v>
      </c>
      <c r="K4118" s="17" t="str">
        <f>HYPERLINK("http://ictvonline.org/taxonomyHistory.asp?taxnode_id=20174534","ICTVonline=20174534")</f>
        <v>ICTVonline=20174534</v>
      </c>
      <c r="L4118" s="3">
        <v>4117</v>
      </c>
    </row>
    <row r="4119" spans="1:12" x14ac:dyDescent="0.15">
      <c r="A4119" s="1" t="s">
        <v>908</v>
      </c>
      <c r="B4119" s="1" t="s">
        <v>483</v>
      </c>
      <c r="D4119" s="1" t="s">
        <v>484</v>
      </c>
      <c r="E4119" s="1" t="s">
        <v>485</v>
      </c>
      <c r="F4119" s="3">
        <v>0</v>
      </c>
      <c r="G4119" s="8" t="s">
        <v>2773</v>
      </c>
      <c r="H4119" s="8" t="s">
        <v>5159</v>
      </c>
      <c r="I4119" s="3">
        <v>13</v>
      </c>
      <c r="J4119" s="3" t="s">
        <v>6016</v>
      </c>
      <c r="K4119" s="17" t="str">
        <f>HYPERLINK("http://ictvonline.org/taxonomyHistory.asp?taxnode_id=20174536","ICTVonline=20174536")</f>
        <v>ICTVonline=20174536</v>
      </c>
      <c r="L4119" s="3">
        <v>4118</v>
      </c>
    </row>
    <row r="4120" spans="1:12" x14ac:dyDescent="0.15">
      <c r="A4120" s="1" t="s">
        <v>908</v>
      </c>
      <c r="B4120" s="1" t="s">
        <v>483</v>
      </c>
      <c r="D4120" s="1" t="s">
        <v>484</v>
      </c>
      <c r="E4120" s="1" t="s">
        <v>486</v>
      </c>
      <c r="F4120" s="3">
        <v>1</v>
      </c>
      <c r="G4120" s="8" t="s">
        <v>2773</v>
      </c>
      <c r="H4120" s="8" t="s">
        <v>5164</v>
      </c>
      <c r="I4120" s="3">
        <v>13</v>
      </c>
      <c r="J4120" s="3" t="s">
        <v>6016</v>
      </c>
      <c r="K4120" s="17" t="str">
        <f>HYPERLINK("http://ictvonline.org/taxonomyHistory.asp?taxnode_id=20174537","ICTVonline=20174537")</f>
        <v>ICTVonline=20174537</v>
      </c>
      <c r="L4120" s="3">
        <v>4119</v>
      </c>
    </row>
    <row r="4121" spans="1:12" x14ac:dyDescent="0.15">
      <c r="A4121" s="1" t="s">
        <v>908</v>
      </c>
      <c r="B4121" s="1" t="s">
        <v>483</v>
      </c>
      <c r="D4121" s="1" t="s">
        <v>484</v>
      </c>
      <c r="E4121" s="1" t="s">
        <v>1564</v>
      </c>
      <c r="F4121" s="3">
        <v>0</v>
      </c>
      <c r="G4121" s="8" t="s">
        <v>2773</v>
      </c>
      <c r="H4121" s="8" t="s">
        <v>5159</v>
      </c>
      <c r="I4121" s="3">
        <v>13</v>
      </c>
      <c r="J4121" s="3" t="s">
        <v>6016</v>
      </c>
      <c r="K4121" s="17" t="str">
        <f>HYPERLINK("http://ictvonline.org/taxonomyHistory.asp?taxnode_id=20174538","ICTVonline=20174538")</f>
        <v>ICTVonline=20174538</v>
      </c>
      <c r="L4121" s="3">
        <v>4120</v>
      </c>
    </row>
    <row r="4122" spans="1:12" x14ac:dyDescent="0.15">
      <c r="A4122" s="1" t="s">
        <v>908</v>
      </c>
      <c r="B4122" s="1" t="s">
        <v>483</v>
      </c>
      <c r="D4122" s="1" t="s">
        <v>484</v>
      </c>
      <c r="E4122" s="1" t="s">
        <v>919</v>
      </c>
      <c r="F4122" s="3">
        <v>0</v>
      </c>
      <c r="G4122" s="8" t="s">
        <v>2773</v>
      </c>
      <c r="H4122" s="8" t="s">
        <v>5159</v>
      </c>
      <c r="I4122" s="3">
        <v>13</v>
      </c>
      <c r="J4122" s="3" t="s">
        <v>6016</v>
      </c>
      <c r="K4122" s="17" t="str">
        <f>HYPERLINK("http://ictvonline.org/taxonomyHistory.asp?taxnode_id=20174539","ICTVonline=20174539")</f>
        <v>ICTVonline=20174539</v>
      </c>
      <c r="L4122" s="3">
        <v>4121</v>
      </c>
    </row>
    <row r="4123" spans="1:12" x14ac:dyDescent="0.15">
      <c r="A4123" s="1" t="s">
        <v>908</v>
      </c>
      <c r="B4123" s="1" t="s">
        <v>483</v>
      </c>
      <c r="D4123" s="1" t="s">
        <v>484</v>
      </c>
      <c r="E4123" s="1" t="s">
        <v>841</v>
      </c>
      <c r="F4123" s="3">
        <v>0</v>
      </c>
      <c r="G4123" s="8" t="s">
        <v>2773</v>
      </c>
      <c r="H4123" s="8" t="s">
        <v>5159</v>
      </c>
      <c r="I4123" s="3">
        <v>13</v>
      </c>
      <c r="J4123" s="3" t="s">
        <v>6016</v>
      </c>
      <c r="K4123" s="17" t="str">
        <f>HYPERLINK("http://ictvonline.org/taxonomyHistory.asp?taxnode_id=20174540","ICTVonline=20174540")</f>
        <v>ICTVonline=20174540</v>
      </c>
      <c r="L4123" s="3">
        <v>4122</v>
      </c>
    </row>
    <row r="4124" spans="1:12" x14ac:dyDescent="0.15">
      <c r="A4124" s="1" t="s">
        <v>908</v>
      </c>
      <c r="B4124" s="1" t="s">
        <v>483</v>
      </c>
      <c r="D4124" s="1" t="s">
        <v>484</v>
      </c>
      <c r="E4124" s="1" t="s">
        <v>842</v>
      </c>
      <c r="F4124" s="3">
        <v>0</v>
      </c>
      <c r="G4124" s="8" t="s">
        <v>2773</v>
      </c>
      <c r="H4124" s="8" t="s">
        <v>5159</v>
      </c>
      <c r="I4124" s="3">
        <v>18</v>
      </c>
      <c r="J4124" s="3" t="s">
        <v>5597</v>
      </c>
      <c r="K4124" s="17" t="str">
        <f>HYPERLINK("http://ictvonline.org/taxonomyHistory.asp?taxnode_id=20174541","ICTVonline=20174541")</f>
        <v>ICTVonline=20174541</v>
      </c>
      <c r="L4124" s="3">
        <v>4123</v>
      </c>
    </row>
    <row r="4125" spans="1:12" x14ac:dyDescent="0.15">
      <c r="A4125" s="1" t="s">
        <v>908</v>
      </c>
      <c r="B4125" s="1" t="s">
        <v>483</v>
      </c>
      <c r="D4125" s="1" t="s">
        <v>843</v>
      </c>
      <c r="E4125" s="1" t="s">
        <v>924</v>
      </c>
      <c r="F4125" s="3">
        <v>0</v>
      </c>
      <c r="G4125" s="8" t="s">
        <v>2773</v>
      </c>
      <c r="H4125" s="8" t="s">
        <v>5159</v>
      </c>
      <c r="I4125" s="3">
        <v>22</v>
      </c>
      <c r="J4125" s="3" t="s">
        <v>6345</v>
      </c>
      <c r="K4125" s="17" t="str">
        <f>HYPERLINK("http://ictvonline.org/taxonomyHistory.asp?taxnode_id=20174543","ICTVonline=20174543")</f>
        <v>ICTVonline=20174543</v>
      </c>
      <c r="L4125" s="3">
        <v>4124</v>
      </c>
    </row>
    <row r="4126" spans="1:12" x14ac:dyDescent="0.15">
      <c r="A4126" s="1" t="s">
        <v>908</v>
      </c>
      <c r="B4126" s="1" t="s">
        <v>483</v>
      </c>
      <c r="D4126" s="1" t="s">
        <v>843</v>
      </c>
      <c r="E4126" s="1" t="s">
        <v>6346</v>
      </c>
      <c r="F4126" s="3">
        <v>0</v>
      </c>
      <c r="G4126" s="8" t="s">
        <v>2773</v>
      </c>
      <c r="H4126" s="8" t="s">
        <v>5159</v>
      </c>
      <c r="I4126" s="3">
        <v>32</v>
      </c>
      <c r="J4126" s="3" t="s">
        <v>6347</v>
      </c>
      <c r="K4126" s="17" t="str">
        <f>HYPERLINK("http://ictvonline.org/taxonomyHistory.asp?taxnode_id=20175917","ICTVonline=20175917")</f>
        <v>ICTVonline=20175917</v>
      </c>
      <c r="L4126" s="3">
        <v>4125</v>
      </c>
    </row>
    <row r="4127" spans="1:12" x14ac:dyDescent="0.15">
      <c r="A4127" s="1" t="s">
        <v>908</v>
      </c>
      <c r="B4127" s="1" t="s">
        <v>483</v>
      </c>
      <c r="D4127" s="1" t="s">
        <v>843</v>
      </c>
      <c r="E4127" s="1" t="s">
        <v>925</v>
      </c>
      <c r="F4127" s="3">
        <v>0</v>
      </c>
      <c r="G4127" s="8" t="s">
        <v>2773</v>
      </c>
      <c r="H4127" s="8" t="s">
        <v>5159</v>
      </c>
      <c r="I4127" s="3">
        <v>22</v>
      </c>
      <c r="J4127" s="3" t="s">
        <v>6345</v>
      </c>
      <c r="K4127" s="17" t="str">
        <f>HYPERLINK("http://ictvonline.org/taxonomyHistory.asp?taxnode_id=20174544","ICTVonline=20174544")</f>
        <v>ICTVonline=20174544</v>
      </c>
      <c r="L4127" s="3">
        <v>4126</v>
      </c>
    </row>
    <row r="4128" spans="1:12" x14ac:dyDescent="0.15">
      <c r="A4128" s="1" t="s">
        <v>908</v>
      </c>
      <c r="B4128" s="1" t="s">
        <v>483</v>
      </c>
      <c r="D4128" s="1" t="s">
        <v>843</v>
      </c>
      <c r="E4128" s="1" t="s">
        <v>926</v>
      </c>
      <c r="F4128" s="3">
        <v>0</v>
      </c>
      <c r="G4128" s="8" t="s">
        <v>2773</v>
      </c>
      <c r="H4128" s="8" t="s">
        <v>5159</v>
      </c>
      <c r="I4128" s="3">
        <v>24</v>
      </c>
      <c r="J4128" s="3" t="s">
        <v>6348</v>
      </c>
      <c r="K4128" s="17" t="str">
        <f>HYPERLINK("http://ictvonline.org/taxonomyHistory.asp?taxnode_id=20174545","ICTVonline=20174545")</f>
        <v>ICTVonline=20174545</v>
      </c>
      <c r="L4128" s="3">
        <v>4127</v>
      </c>
    </row>
    <row r="4129" spans="1:12" x14ac:dyDescent="0.15">
      <c r="A4129" s="1" t="s">
        <v>908</v>
      </c>
      <c r="B4129" s="1" t="s">
        <v>483</v>
      </c>
      <c r="D4129" s="1" t="s">
        <v>843</v>
      </c>
      <c r="E4129" s="1" t="s">
        <v>927</v>
      </c>
      <c r="F4129" s="3">
        <v>1</v>
      </c>
      <c r="G4129" s="8" t="s">
        <v>2773</v>
      </c>
      <c r="H4129" s="8" t="s">
        <v>5164</v>
      </c>
      <c r="I4129" s="3">
        <v>17</v>
      </c>
      <c r="J4129" s="3" t="s">
        <v>5970</v>
      </c>
      <c r="K4129" s="17" t="str">
        <f>HYPERLINK("http://ictvonline.org/taxonomyHistory.asp?taxnode_id=20174546","ICTVonline=20174546")</f>
        <v>ICTVonline=20174546</v>
      </c>
      <c r="L4129" s="3">
        <v>4128</v>
      </c>
    </row>
    <row r="4130" spans="1:12" x14ac:dyDescent="0.15">
      <c r="A4130" s="1" t="s">
        <v>908</v>
      </c>
      <c r="B4130" s="1" t="s">
        <v>483</v>
      </c>
      <c r="D4130" s="1" t="s">
        <v>843</v>
      </c>
      <c r="E4130" s="1" t="s">
        <v>2097</v>
      </c>
      <c r="F4130" s="3">
        <v>0</v>
      </c>
      <c r="G4130" s="8" t="s">
        <v>2773</v>
      </c>
      <c r="H4130" s="8" t="s">
        <v>5161</v>
      </c>
      <c r="I4130" s="3">
        <v>28</v>
      </c>
      <c r="J4130" s="3" t="s">
        <v>6349</v>
      </c>
      <c r="K4130" s="17" t="str">
        <f>HYPERLINK("http://ictvonline.org/taxonomyHistory.asp?taxnode_id=20174547","ICTVonline=20174547")</f>
        <v>ICTVonline=20174547</v>
      </c>
      <c r="L4130" s="3">
        <v>4129</v>
      </c>
    </row>
    <row r="4131" spans="1:12" x14ac:dyDescent="0.15">
      <c r="A4131" s="1" t="s">
        <v>908</v>
      </c>
      <c r="B4131" s="1" t="s">
        <v>483</v>
      </c>
      <c r="D4131" s="1" t="s">
        <v>843</v>
      </c>
      <c r="E4131" s="1" t="s">
        <v>195</v>
      </c>
      <c r="F4131" s="3">
        <v>0</v>
      </c>
      <c r="G4131" s="8" t="s">
        <v>2773</v>
      </c>
      <c r="H4131" s="8" t="s">
        <v>5159</v>
      </c>
      <c r="I4131" s="3">
        <v>26</v>
      </c>
      <c r="J4131" s="3" t="s">
        <v>6350</v>
      </c>
      <c r="K4131" s="17" t="str">
        <f>HYPERLINK("http://ictvonline.org/taxonomyHistory.asp?taxnode_id=20174548","ICTVonline=20174548")</f>
        <v>ICTVonline=20174548</v>
      </c>
      <c r="L4131" s="3">
        <v>4130</v>
      </c>
    </row>
    <row r="4132" spans="1:12" x14ac:dyDescent="0.15">
      <c r="A4132" s="1" t="s">
        <v>908</v>
      </c>
      <c r="B4132" s="1" t="s">
        <v>483</v>
      </c>
      <c r="D4132" s="1" t="s">
        <v>928</v>
      </c>
      <c r="E4132" s="1" t="s">
        <v>929</v>
      </c>
      <c r="F4132" s="3">
        <v>0</v>
      </c>
      <c r="G4132" s="8" t="s">
        <v>2773</v>
      </c>
      <c r="H4132" s="8" t="s">
        <v>5161</v>
      </c>
      <c r="I4132" s="3">
        <v>24</v>
      </c>
      <c r="J4132" s="3" t="s">
        <v>6351</v>
      </c>
      <c r="K4132" s="17" t="str">
        <f>HYPERLINK("http://ictvonline.org/taxonomyHistory.asp?taxnode_id=20174550","ICTVonline=20174550")</f>
        <v>ICTVonline=20174550</v>
      </c>
      <c r="L4132" s="3">
        <v>4131</v>
      </c>
    </row>
    <row r="4133" spans="1:12" x14ac:dyDescent="0.15">
      <c r="A4133" s="1" t="s">
        <v>908</v>
      </c>
      <c r="B4133" s="1" t="s">
        <v>483</v>
      </c>
      <c r="D4133" s="1" t="s">
        <v>928</v>
      </c>
      <c r="E4133" s="1" t="s">
        <v>597</v>
      </c>
      <c r="F4133" s="3">
        <v>0</v>
      </c>
      <c r="G4133" s="8" t="s">
        <v>2773</v>
      </c>
      <c r="H4133" s="8" t="s">
        <v>5161</v>
      </c>
      <c r="I4133" s="3">
        <v>30</v>
      </c>
      <c r="J4133" s="3" t="s">
        <v>6352</v>
      </c>
      <c r="K4133" s="17" t="str">
        <f>HYPERLINK("http://ictvonline.org/taxonomyHistory.asp?taxnode_id=20174551","ICTVonline=20174551")</f>
        <v>ICTVonline=20174551</v>
      </c>
      <c r="L4133" s="3">
        <v>4132</v>
      </c>
    </row>
    <row r="4134" spans="1:12" x14ac:dyDescent="0.15">
      <c r="A4134" s="1" t="s">
        <v>908</v>
      </c>
      <c r="B4134" s="1" t="s">
        <v>483</v>
      </c>
      <c r="D4134" s="1" t="s">
        <v>928</v>
      </c>
      <c r="E4134" s="1" t="s">
        <v>5056</v>
      </c>
      <c r="F4134" s="3">
        <v>0</v>
      </c>
      <c r="G4134" s="8" t="s">
        <v>2773</v>
      </c>
      <c r="H4134" s="8" t="s">
        <v>5159</v>
      </c>
      <c r="I4134" s="3">
        <v>31</v>
      </c>
      <c r="J4134" s="3" t="s">
        <v>6353</v>
      </c>
      <c r="K4134" s="17" t="str">
        <f>HYPERLINK("http://ictvonline.org/taxonomyHistory.asp?taxnode_id=20174552","ICTVonline=20174552")</f>
        <v>ICTVonline=20174552</v>
      </c>
      <c r="L4134" s="3">
        <v>4133</v>
      </c>
    </row>
    <row r="4135" spans="1:12" x14ac:dyDescent="0.15">
      <c r="A4135" s="1" t="s">
        <v>908</v>
      </c>
      <c r="B4135" s="1" t="s">
        <v>483</v>
      </c>
      <c r="D4135" s="1" t="s">
        <v>928</v>
      </c>
      <c r="E4135" s="1" t="s">
        <v>930</v>
      </c>
      <c r="F4135" s="3">
        <v>0</v>
      </c>
      <c r="G4135" s="8" t="s">
        <v>2773</v>
      </c>
      <c r="H4135" s="8" t="s">
        <v>5161</v>
      </c>
      <c r="I4135" s="3">
        <v>22</v>
      </c>
      <c r="J4135" s="3" t="s">
        <v>6345</v>
      </c>
      <c r="K4135" s="17" t="str">
        <f>HYPERLINK("http://ictvonline.org/taxonomyHistory.asp?taxnode_id=20174553","ICTVonline=20174553")</f>
        <v>ICTVonline=20174553</v>
      </c>
      <c r="L4135" s="3">
        <v>4134</v>
      </c>
    </row>
    <row r="4136" spans="1:12" x14ac:dyDescent="0.15">
      <c r="A4136" s="1" t="s">
        <v>908</v>
      </c>
      <c r="B4136" s="1" t="s">
        <v>483</v>
      </c>
      <c r="D4136" s="1" t="s">
        <v>928</v>
      </c>
      <c r="E4136" s="1" t="s">
        <v>931</v>
      </c>
      <c r="F4136" s="3">
        <v>0</v>
      </c>
      <c r="G4136" s="8" t="s">
        <v>2773</v>
      </c>
      <c r="H4136" s="8" t="s">
        <v>5159</v>
      </c>
      <c r="I4136" s="3">
        <v>24</v>
      </c>
      <c r="J4136" s="3" t="s">
        <v>6351</v>
      </c>
      <c r="K4136" s="17" t="str">
        <f>HYPERLINK("http://ictvonline.org/taxonomyHistory.asp?taxnode_id=20174554","ICTVonline=20174554")</f>
        <v>ICTVonline=20174554</v>
      </c>
      <c r="L4136" s="3">
        <v>4135</v>
      </c>
    </row>
    <row r="4137" spans="1:12" x14ac:dyDescent="0.15">
      <c r="A4137" s="1" t="s">
        <v>908</v>
      </c>
      <c r="B4137" s="1" t="s">
        <v>483</v>
      </c>
      <c r="D4137" s="1" t="s">
        <v>928</v>
      </c>
      <c r="E4137" s="1" t="s">
        <v>589</v>
      </c>
      <c r="F4137" s="3">
        <v>1</v>
      </c>
      <c r="G4137" s="8" t="s">
        <v>2773</v>
      </c>
      <c r="H4137" s="8" t="s">
        <v>5164</v>
      </c>
      <c r="I4137" s="3">
        <v>17</v>
      </c>
      <c r="J4137" s="3" t="s">
        <v>5970</v>
      </c>
      <c r="K4137" s="17" t="str">
        <f>HYPERLINK("http://ictvonline.org/taxonomyHistory.asp?taxnode_id=20174555","ICTVonline=20174555")</f>
        <v>ICTVonline=20174555</v>
      </c>
      <c r="L4137" s="3">
        <v>4136</v>
      </c>
    </row>
    <row r="4138" spans="1:12" x14ac:dyDescent="0.15">
      <c r="A4138" s="1" t="s">
        <v>908</v>
      </c>
      <c r="B4138" s="1" t="s">
        <v>483</v>
      </c>
      <c r="D4138" s="1" t="s">
        <v>928</v>
      </c>
      <c r="E4138" s="1" t="s">
        <v>590</v>
      </c>
      <c r="F4138" s="3">
        <v>0</v>
      </c>
      <c r="G4138" s="8" t="s">
        <v>2773</v>
      </c>
      <c r="H4138" s="8" t="s">
        <v>5159</v>
      </c>
      <c r="I4138" s="3">
        <v>17</v>
      </c>
      <c r="J4138" s="3" t="s">
        <v>5970</v>
      </c>
      <c r="K4138" s="17" t="str">
        <f>HYPERLINK("http://ictvonline.org/taxonomyHistory.asp?taxnode_id=20174556","ICTVonline=20174556")</f>
        <v>ICTVonline=20174556</v>
      </c>
      <c r="L4138" s="3">
        <v>4137</v>
      </c>
    </row>
    <row r="4139" spans="1:12" x14ac:dyDescent="0.15">
      <c r="A4139" s="1" t="s">
        <v>908</v>
      </c>
      <c r="B4139" s="1" t="s">
        <v>483</v>
      </c>
      <c r="D4139" s="1" t="s">
        <v>928</v>
      </c>
      <c r="E4139" s="1" t="s">
        <v>5057</v>
      </c>
      <c r="F4139" s="3">
        <v>0</v>
      </c>
      <c r="G4139" s="8" t="s">
        <v>2773</v>
      </c>
      <c r="H4139" s="8" t="s">
        <v>5159</v>
      </c>
      <c r="I4139" s="3">
        <v>31</v>
      </c>
      <c r="J4139" s="3" t="s">
        <v>6353</v>
      </c>
      <c r="K4139" s="17" t="str">
        <f>HYPERLINK("http://ictvonline.org/taxonomyHistory.asp?taxnode_id=20174557","ICTVonline=20174557")</f>
        <v>ICTVonline=20174557</v>
      </c>
      <c r="L4139" s="3">
        <v>4138</v>
      </c>
    </row>
    <row r="4140" spans="1:12" x14ac:dyDescent="0.15">
      <c r="A4140" s="1" t="s">
        <v>908</v>
      </c>
      <c r="B4140" s="1" t="s">
        <v>483</v>
      </c>
      <c r="D4140" s="1" t="s">
        <v>196</v>
      </c>
      <c r="E4140" s="1" t="s">
        <v>4147</v>
      </c>
      <c r="F4140" s="3">
        <v>0</v>
      </c>
      <c r="G4140" s="8" t="s">
        <v>2773</v>
      </c>
      <c r="H4140" s="8" t="s">
        <v>5159</v>
      </c>
      <c r="I4140" s="3">
        <v>30</v>
      </c>
      <c r="J4140" s="3" t="s">
        <v>6354</v>
      </c>
      <c r="K4140" s="17" t="str">
        <f>HYPERLINK("http://ictvonline.org/taxonomyHistory.asp?taxnode_id=20174559","ICTVonline=20174559")</f>
        <v>ICTVonline=20174559</v>
      </c>
      <c r="L4140" s="3">
        <v>4139</v>
      </c>
    </row>
    <row r="4141" spans="1:12" x14ac:dyDescent="0.15">
      <c r="A4141" s="1" t="s">
        <v>908</v>
      </c>
      <c r="B4141" s="1" t="s">
        <v>483</v>
      </c>
      <c r="D4141" s="1" t="s">
        <v>196</v>
      </c>
      <c r="E4141" s="1" t="s">
        <v>497</v>
      </c>
      <c r="F4141" s="3">
        <v>0</v>
      </c>
      <c r="G4141" s="8" t="s">
        <v>2773</v>
      </c>
      <c r="H4141" s="8" t="s">
        <v>5161</v>
      </c>
      <c r="I4141" s="3">
        <v>26</v>
      </c>
      <c r="J4141" s="3" t="s">
        <v>6355</v>
      </c>
      <c r="K4141" s="17" t="str">
        <f>HYPERLINK("http://ictvonline.org/taxonomyHistory.asp?taxnode_id=20174560","ICTVonline=20174560")</f>
        <v>ICTVonline=20174560</v>
      </c>
      <c r="L4141" s="3">
        <v>4140</v>
      </c>
    </row>
    <row r="4142" spans="1:12" x14ac:dyDescent="0.15">
      <c r="A4142" s="1" t="s">
        <v>908</v>
      </c>
      <c r="B4142" s="1" t="s">
        <v>483</v>
      </c>
      <c r="D4142" s="1" t="s">
        <v>196</v>
      </c>
      <c r="E4142" s="1" t="s">
        <v>197</v>
      </c>
      <c r="F4142" s="3">
        <v>1</v>
      </c>
      <c r="G4142" s="8" t="s">
        <v>2773</v>
      </c>
      <c r="H4142" s="8" t="s">
        <v>5164</v>
      </c>
      <c r="I4142" s="3">
        <v>26</v>
      </c>
      <c r="J4142" s="3" t="s">
        <v>6355</v>
      </c>
      <c r="K4142" s="17" t="str">
        <f>HYPERLINK("http://ictvonline.org/taxonomyHistory.asp?taxnode_id=20174561","ICTVonline=20174561")</f>
        <v>ICTVonline=20174561</v>
      </c>
      <c r="L4142" s="3">
        <v>4141</v>
      </c>
    </row>
    <row r="4143" spans="1:12" x14ac:dyDescent="0.15">
      <c r="A4143" s="1" t="s">
        <v>908</v>
      </c>
      <c r="B4143" s="1" t="s">
        <v>483</v>
      </c>
      <c r="D4143" s="1" t="s">
        <v>591</v>
      </c>
      <c r="E4143" s="1" t="s">
        <v>2128</v>
      </c>
      <c r="F4143" s="3">
        <v>0</v>
      </c>
      <c r="G4143" s="8" t="s">
        <v>2773</v>
      </c>
      <c r="H4143" s="8" t="s">
        <v>5159</v>
      </c>
      <c r="I4143" s="3">
        <v>25</v>
      </c>
      <c r="J4143" s="3" t="s">
        <v>6356</v>
      </c>
      <c r="K4143" s="17" t="str">
        <f>HYPERLINK("http://ictvonline.org/taxonomyHistory.asp?taxnode_id=20174563","ICTVonline=20174563")</f>
        <v>ICTVonline=20174563</v>
      </c>
      <c r="L4143" s="3">
        <v>4142</v>
      </c>
    </row>
    <row r="4144" spans="1:12" x14ac:dyDescent="0.15">
      <c r="A4144" s="1" t="s">
        <v>908</v>
      </c>
      <c r="B4144" s="1" t="s">
        <v>483</v>
      </c>
      <c r="D4144" s="1" t="s">
        <v>591</v>
      </c>
      <c r="E4144" s="1" t="s">
        <v>592</v>
      </c>
      <c r="F4144" s="3">
        <v>0</v>
      </c>
      <c r="G4144" s="8" t="s">
        <v>2773</v>
      </c>
      <c r="H4144" s="8" t="s">
        <v>5161</v>
      </c>
      <c r="I4144" s="3">
        <v>13</v>
      </c>
      <c r="J4144" s="3" t="s">
        <v>6016</v>
      </c>
      <c r="K4144" s="17" t="str">
        <f>HYPERLINK("http://ictvonline.org/taxonomyHistory.asp?taxnode_id=20174564","ICTVonline=20174564")</f>
        <v>ICTVonline=20174564</v>
      </c>
      <c r="L4144" s="3">
        <v>4143</v>
      </c>
    </row>
    <row r="4145" spans="1:12" x14ac:dyDescent="0.15">
      <c r="A4145" s="1" t="s">
        <v>908</v>
      </c>
      <c r="B4145" s="1" t="s">
        <v>483</v>
      </c>
      <c r="D4145" s="1" t="s">
        <v>591</v>
      </c>
      <c r="E4145" s="1" t="s">
        <v>2129</v>
      </c>
      <c r="F4145" s="3">
        <v>0</v>
      </c>
      <c r="G4145" s="8" t="s">
        <v>2773</v>
      </c>
      <c r="H4145" s="8" t="s">
        <v>5159</v>
      </c>
      <c r="I4145" s="3">
        <v>25</v>
      </c>
      <c r="J4145" s="3" t="s">
        <v>6356</v>
      </c>
      <c r="K4145" s="17" t="str">
        <f>HYPERLINK("http://ictvonline.org/taxonomyHistory.asp?taxnode_id=20174565","ICTVonline=20174565")</f>
        <v>ICTVonline=20174565</v>
      </c>
      <c r="L4145" s="3">
        <v>4144</v>
      </c>
    </row>
    <row r="4146" spans="1:12" x14ac:dyDescent="0.15">
      <c r="A4146" s="1" t="s">
        <v>908</v>
      </c>
      <c r="B4146" s="1" t="s">
        <v>483</v>
      </c>
      <c r="D4146" s="1" t="s">
        <v>591</v>
      </c>
      <c r="E4146" s="1" t="s">
        <v>593</v>
      </c>
      <c r="F4146" s="3">
        <v>0</v>
      </c>
      <c r="G4146" s="8" t="s">
        <v>2773</v>
      </c>
      <c r="H4146" s="8" t="s">
        <v>5161</v>
      </c>
      <c r="I4146" s="3">
        <v>13</v>
      </c>
      <c r="J4146" s="3" t="s">
        <v>6016</v>
      </c>
      <c r="K4146" s="17" t="str">
        <f>HYPERLINK("http://ictvonline.org/taxonomyHistory.asp?taxnode_id=20174566","ICTVonline=20174566")</f>
        <v>ICTVonline=20174566</v>
      </c>
      <c r="L4146" s="3">
        <v>4145</v>
      </c>
    </row>
    <row r="4147" spans="1:12" x14ac:dyDescent="0.15">
      <c r="A4147" s="1" t="s">
        <v>908</v>
      </c>
      <c r="B4147" s="1" t="s">
        <v>483</v>
      </c>
      <c r="D4147" s="1" t="s">
        <v>591</v>
      </c>
      <c r="E4147" s="1" t="s">
        <v>594</v>
      </c>
      <c r="F4147" s="3">
        <v>0</v>
      </c>
      <c r="G4147" s="8" t="s">
        <v>2773</v>
      </c>
      <c r="H4147" s="8" t="s">
        <v>5159</v>
      </c>
      <c r="I4147" s="3">
        <v>24</v>
      </c>
      <c r="J4147" s="3" t="s">
        <v>6357</v>
      </c>
      <c r="K4147" s="17" t="str">
        <f>HYPERLINK("http://ictvonline.org/taxonomyHistory.asp?taxnode_id=20174567","ICTVonline=20174567")</f>
        <v>ICTVonline=20174567</v>
      </c>
      <c r="L4147" s="3">
        <v>4146</v>
      </c>
    </row>
    <row r="4148" spans="1:12" x14ac:dyDescent="0.15">
      <c r="A4148" s="1" t="s">
        <v>908</v>
      </c>
      <c r="B4148" s="1" t="s">
        <v>483</v>
      </c>
      <c r="D4148" s="1" t="s">
        <v>591</v>
      </c>
      <c r="E4148" s="1" t="s">
        <v>2130</v>
      </c>
      <c r="F4148" s="3">
        <v>0</v>
      </c>
      <c r="G4148" s="8" t="s">
        <v>2773</v>
      </c>
      <c r="H4148" s="8" t="s">
        <v>5159</v>
      </c>
      <c r="I4148" s="3">
        <v>25</v>
      </c>
      <c r="J4148" s="3" t="s">
        <v>6356</v>
      </c>
      <c r="K4148" s="17" t="str">
        <f>HYPERLINK("http://ictvonline.org/taxonomyHistory.asp?taxnode_id=20174568","ICTVonline=20174568")</f>
        <v>ICTVonline=20174568</v>
      </c>
      <c r="L4148" s="3">
        <v>4147</v>
      </c>
    </row>
    <row r="4149" spans="1:12" x14ac:dyDescent="0.15">
      <c r="A4149" s="1" t="s">
        <v>908</v>
      </c>
      <c r="B4149" s="1" t="s">
        <v>483</v>
      </c>
      <c r="D4149" s="1" t="s">
        <v>591</v>
      </c>
      <c r="E4149" s="1" t="s">
        <v>595</v>
      </c>
      <c r="F4149" s="3">
        <v>0</v>
      </c>
      <c r="G4149" s="8" t="s">
        <v>2773</v>
      </c>
      <c r="H4149" s="8" t="s">
        <v>5159</v>
      </c>
      <c r="I4149" s="3">
        <v>23</v>
      </c>
      <c r="J4149" s="3" t="s">
        <v>6020</v>
      </c>
      <c r="K4149" s="17" t="str">
        <f>HYPERLINK("http://ictvonline.org/taxonomyHistory.asp?taxnode_id=20174569","ICTVonline=20174569")</f>
        <v>ICTVonline=20174569</v>
      </c>
      <c r="L4149" s="3">
        <v>4148</v>
      </c>
    </row>
    <row r="4150" spans="1:12" x14ac:dyDescent="0.15">
      <c r="A4150" s="1" t="s">
        <v>908</v>
      </c>
      <c r="B4150" s="1" t="s">
        <v>483</v>
      </c>
      <c r="D4150" s="1" t="s">
        <v>591</v>
      </c>
      <c r="E4150" s="1" t="s">
        <v>596</v>
      </c>
      <c r="F4150" s="3">
        <v>0</v>
      </c>
      <c r="G4150" s="8" t="s">
        <v>2773</v>
      </c>
      <c r="H4150" s="8" t="s">
        <v>5161</v>
      </c>
      <c r="I4150" s="3">
        <v>13</v>
      </c>
      <c r="J4150" s="3" t="s">
        <v>6016</v>
      </c>
      <c r="K4150" s="17" t="str">
        <f>HYPERLINK("http://ictvonline.org/taxonomyHistory.asp?taxnode_id=20174570","ICTVonline=20174570")</f>
        <v>ICTVonline=20174570</v>
      </c>
      <c r="L4150" s="3">
        <v>4149</v>
      </c>
    </row>
    <row r="4151" spans="1:12" x14ac:dyDescent="0.15">
      <c r="A4151" s="1" t="s">
        <v>908</v>
      </c>
      <c r="B4151" s="1" t="s">
        <v>483</v>
      </c>
      <c r="D4151" s="1" t="s">
        <v>591</v>
      </c>
      <c r="E4151" s="1" t="s">
        <v>2155</v>
      </c>
      <c r="F4151" s="3">
        <v>0</v>
      </c>
      <c r="G4151" s="8" t="s">
        <v>2773</v>
      </c>
      <c r="H4151" s="8" t="s">
        <v>5159</v>
      </c>
      <c r="I4151" s="3">
        <v>25</v>
      </c>
      <c r="J4151" s="3" t="s">
        <v>6358</v>
      </c>
      <c r="K4151" s="17" t="str">
        <f>HYPERLINK("http://ictvonline.org/taxonomyHistory.asp?taxnode_id=20174571","ICTVonline=20174571")</f>
        <v>ICTVonline=20174571</v>
      </c>
      <c r="L4151" s="3">
        <v>4150</v>
      </c>
    </row>
    <row r="4152" spans="1:12" x14ac:dyDescent="0.15">
      <c r="A4152" s="1" t="s">
        <v>908</v>
      </c>
      <c r="B4152" s="1" t="s">
        <v>483</v>
      </c>
      <c r="D4152" s="1" t="s">
        <v>591</v>
      </c>
      <c r="E4152" s="1" t="s">
        <v>598</v>
      </c>
      <c r="F4152" s="3">
        <v>0</v>
      </c>
      <c r="G4152" s="8" t="s">
        <v>2773</v>
      </c>
      <c r="H4152" s="8" t="s">
        <v>5161</v>
      </c>
      <c r="I4152" s="3">
        <v>13</v>
      </c>
      <c r="J4152" s="3" t="s">
        <v>6016</v>
      </c>
      <c r="K4152" s="17" t="str">
        <f>HYPERLINK("http://ictvonline.org/taxonomyHistory.asp?taxnode_id=20174572","ICTVonline=20174572")</f>
        <v>ICTVonline=20174572</v>
      </c>
      <c r="L4152" s="3">
        <v>4151</v>
      </c>
    </row>
    <row r="4153" spans="1:12" x14ac:dyDescent="0.15">
      <c r="A4153" s="1" t="s">
        <v>908</v>
      </c>
      <c r="B4153" s="1" t="s">
        <v>483</v>
      </c>
      <c r="D4153" s="1" t="s">
        <v>591</v>
      </c>
      <c r="E4153" s="1" t="s">
        <v>599</v>
      </c>
      <c r="F4153" s="3">
        <v>0</v>
      </c>
      <c r="G4153" s="8" t="s">
        <v>2773</v>
      </c>
      <c r="H4153" s="8" t="s">
        <v>5159</v>
      </c>
      <c r="I4153" s="3">
        <v>18</v>
      </c>
      <c r="J4153" s="3" t="s">
        <v>5597</v>
      </c>
      <c r="K4153" s="17" t="str">
        <f>HYPERLINK("http://ictvonline.org/taxonomyHistory.asp?taxnode_id=20174573","ICTVonline=20174573")</f>
        <v>ICTVonline=20174573</v>
      </c>
      <c r="L4153" s="3">
        <v>4152</v>
      </c>
    </row>
    <row r="4154" spans="1:12" x14ac:dyDescent="0.15">
      <c r="A4154" s="1" t="s">
        <v>908</v>
      </c>
      <c r="B4154" s="1" t="s">
        <v>483</v>
      </c>
      <c r="D4154" s="1" t="s">
        <v>591</v>
      </c>
      <c r="E4154" s="1" t="s">
        <v>6359</v>
      </c>
      <c r="F4154" s="3">
        <v>0</v>
      </c>
      <c r="G4154" s="8" t="s">
        <v>2773</v>
      </c>
      <c r="H4154" s="8" t="s">
        <v>5159</v>
      </c>
      <c r="I4154" s="3">
        <v>32</v>
      </c>
      <c r="J4154" s="3" t="s">
        <v>6347</v>
      </c>
      <c r="K4154" s="17" t="str">
        <f>HYPERLINK("http://ictvonline.org/taxonomyHistory.asp?taxnode_id=20175918","ICTVonline=20175918")</f>
        <v>ICTVonline=20175918</v>
      </c>
      <c r="L4154" s="3">
        <v>4153</v>
      </c>
    </row>
    <row r="4155" spans="1:12" x14ac:dyDescent="0.15">
      <c r="A4155" s="1" t="s">
        <v>908</v>
      </c>
      <c r="B4155" s="1" t="s">
        <v>483</v>
      </c>
      <c r="D4155" s="1" t="s">
        <v>591</v>
      </c>
      <c r="E4155" s="1" t="s">
        <v>600</v>
      </c>
      <c r="F4155" s="3">
        <v>0</v>
      </c>
      <c r="G4155" s="8" t="s">
        <v>2773</v>
      </c>
      <c r="H4155" s="8" t="s">
        <v>5159</v>
      </c>
      <c r="I4155" s="3">
        <v>24</v>
      </c>
      <c r="J4155" s="3" t="s">
        <v>6357</v>
      </c>
      <c r="K4155" s="17" t="str">
        <f>HYPERLINK("http://ictvonline.org/taxonomyHistory.asp?taxnode_id=20174574","ICTVonline=20174574")</f>
        <v>ICTVonline=20174574</v>
      </c>
      <c r="L4155" s="3">
        <v>4154</v>
      </c>
    </row>
    <row r="4156" spans="1:12" x14ac:dyDescent="0.15">
      <c r="A4156" s="1" t="s">
        <v>908</v>
      </c>
      <c r="B4156" s="1" t="s">
        <v>483</v>
      </c>
      <c r="D4156" s="1" t="s">
        <v>591</v>
      </c>
      <c r="E4156" s="1" t="s">
        <v>601</v>
      </c>
      <c r="F4156" s="3">
        <v>0</v>
      </c>
      <c r="G4156" s="8" t="s">
        <v>2773</v>
      </c>
      <c r="H4156" s="8" t="s">
        <v>5159</v>
      </c>
      <c r="I4156" s="3">
        <v>14</v>
      </c>
      <c r="J4156" s="3" t="s">
        <v>6027</v>
      </c>
      <c r="K4156" s="17" t="str">
        <f>HYPERLINK("http://ictvonline.org/taxonomyHistory.asp?taxnode_id=20174575","ICTVonline=20174575")</f>
        <v>ICTVonline=20174575</v>
      </c>
      <c r="L4156" s="3">
        <v>4155</v>
      </c>
    </row>
    <row r="4157" spans="1:12" x14ac:dyDescent="0.15">
      <c r="A4157" s="1" t="s">
        <v>908</v>
      </c>
      <c r="B4157" s="1" t="s">
        <v>483</v>
      </c>
      <c r="D4157" s="1" t="s">
        <v>591</v>
      </c>
      <c r="E4157" s="1" t="s">
        <v>602</v>
      </c>
      <c r="F4157" s="3">
        <v>0</v>
      </c>
      <c r="G4157" s="8" t="s">
        <v>2773</v>
      </c>
      <c r="H4157" s="8" t="s">
        <v>5168</v>
      </c>
      <c r="I4157" s="3">
        <v>18</v>
      </c>
      <c r="J4157" s="3" t="s">
        <v>5597</v>
      </c>
      <c r="K4157" s="17" t="str">
        <f>HYPERLINK("http://ictvonline.org/taxonomyHistory.asp?taxnode_id=20174576","ICTVonline=20174576")</f>
        <v>ICTVonline=20174576</v>
      </c>
      <c r="L4157" s="3">
        <v>4156</v>
      </c>
    </row>
    <row r="4158" spans="1:12" x14ac:dyDescent="0.15">
      <c r="A4158" s="1" t="s">
        <v>908</v>
      </c>
      <c r="B4158" s="1" t="s">
        <v>483</v>
      </c>
      <c r="D4158" s="1" t="s">
        <v>591</v>
      </c>
      <c r="E4158" s="1" t="s">
        <v>603</v>
      </c>
      <c r="F4158" s="3">
        <v>0</v>
      </c>
      <c r="G4158" s="8" t="s">
        <v>2773</v>
      </c>
      <c r="H4158" s="8" t="s">
        <v>5161</v>
      </c>
      <c r="I4158" s="3">
        <v>13</v>
      </c>
      <c r="J4158" s="3" t="s">
        <v>6016</v>
      </c>
      <c r="K4158" s="17" t="str">
        <f>HYPERLINK("http://ictvonline.org/taxonomyHistory.asp?taxnode_id=20174577","ICTVonline=20174577")</f>
        <v>ICTVonline=20174577</v>
      </c>
      <c r="L4158" s="3">
        <v>4157</v>
      </c>
    </row>
    <row r="4159" spans="1:12" x14ac:dyDescent="0.15">
      <c r="A4159" s="1" t="s">
        <v>908</v>
      </c>
      <c r="B4159" s="1" t="s">
        <v>483</v>
      </c>
      <c r="D4159" s="1" t="s">
        <v>591</v>
      </c>
      <c r="E4159" s="1" t="s">
        <v>604</v>
      </c>
      <c r="F4159" s="3">
        <v>0</v>
      </c>
      <c r="G4159" s="8" t="s">
        <v>2773</v>
      </c>
      <c r="H4159" s="8" t="s">
        <v>5161</v>
      </c>
      <c r="I4159" s="3">
        <v>13</v>
      </c>
      <c r="J4159" s="3" t="s">
        <v>6016</v>
      </c>
      <c r="K4159" s="17" t="str">
        <f>HYPERLINK("http://ictvonline.org/taxonomyHistory.asp?taxnode_id=20174578","ICTVonline=20174578")</f>
        <v>ICTVonline=20174578</v>
      </c>
      <c r="L4159" s="3">
        <v>4158</v>
      </c>
    </row>
    <row r="4160" spans="1:12" x14ac:dyDescent="0.15">
      <c r="A4160" s="1" t="s">
        <v>908</v>
      </c>
      <c r="B4160" s="1" t="s">
        <v>483</v>
      </c>
      <c r="D4160" s="1" t="s">
        <v>591</v>
      </c>
      <c r="E4160" s="1" t="s">
        <v>2720</v>
      </c>
      <c r="F4160" s="3">
        <v>0</v>
      </c>
      <c r="G4160" s="8" t="s">
        <v>2773</v>
      </c>
      <c r="H4160" s="8" t="s">
        <v>5159</v>
      </c>
      <c r="I4160" s="3">
        <v>29</v>
      </c>
      <c r="J4160" s="3" t="s">
        <v>6360</v>
      </c>
      <c r="K4160" s="17" t="str">
        <f>HYPERLINK("http://ictvonline.org/taxonomyHistory.asp?taxnode_id=20174579","ICTVonline=20174579")</f>
        <v>ICTVonline=20174579</v>
      </c>
      <c r="L4160" s="3">
        <v>4159</v>
      </c>
    </row>
    <row r="4161" spans="1:12" x14ac:dyDescent="0.15">
      <c r="A4161" s="1" t="s">
        <v>908</v>
      </c>
      <c r="B4161" s="1" t="s">
        <v>483</v>
      </c>
      <c r="D4161" s="1" t="s">
        <v>591</v>
      </c>
      <c r="E4161" s="1" t="s">
        <v>605</v>
      </c>
      <c r="F4161" s="3">
        <v>0</v>
      </c>
      <c r="G4161" s="8" t="s">
        <v>2773</v>
      </c>
      <c r="H4161" s="8" t="s">
        <v>5161</v>
      </c>
      <c r="I4161" s="3">
        <v>13</v>
      </c>
      <c r="J4161" s="3" t="s">
        <v>6016</v>
      </c>
      <c r="K4161" s="17" t="str">
        <f>HYPERLINK("http://ictvonline.org/taxonomyHistory.asp?taxnode_id=20174580","ICTVonline=20174580")</f>
        <v>ICTVonline=20174580</v>
      </c>
      <c r="L4161" s="3">
        <v>4160</v>
      </c>
    </row>
    <row r="4162" spans="1:12" x14ac:dyDescent="0.15">
      <c r="A4162" s="1" t="s">
        <v>908</v>
      </c>
      <c r="B4162" s="1" t="s">
        <v>483</v>
      </c>
      <c r="D4162" s="1" t="s">
        <v>591</v>
      </c>
      <c r="E4162" s="1" t="s">
        <v>2721</v>
      </c>
      <c r="F4162" s="3">
        <v>0</v>
      </c>
      <c r="G4162" s="8" t="s">
        <v>2773</v>
      </c>
      <c r="H4162" s="8" t="s">
        <v>5159</v>
      </c>
      <c r="I4162" s="3">
        <v>29</v>
      </c>
      <c r="J4162" s="3" t="s">
        <v>6360</v>
      </c>
      <c r="K4162" s="17" t="str">
        <f>HYPERLINK("http://ictvonline.org/taxonomyHistory.asp?taxnode_id=20174581","ICTVonline=20174581")</f>
        <v>ICTVonline=20174581</v>
      </c>
      <c r="L4162" s="3">
        <v>4161</v>
      </c>
    </row>
    <row r="4163" spans="1:12" x14ac:dyDescent="0.15">
      <c r="A4163" s="1" t="s">
        <v>908</v>
      </c>
      <c r="B4163" s="1" t="s">
        <v>483</v>
      </c>
      <c r="D4163" s="1" t="s">
        <v>591</v>
      </c>
      <c r="E4163" s="1" t="s">
        <v>2722</v>
      </c>
      <c r="F4163" s="3">
        <v>0</v>
      </c>
      <c r="G4163" s="8" t="s">
        <v>2773</v>
      </c>
      <c r="H4163" s="8" t="s">
        <v>5159</v>
      </c>
      <c r="I4163" s="3">
        <v>29</v>
      </c>
      <c r="J4163" s="3" t="s">
        <v>6360</v>
      </c>
      <c r="K4163" s="17" t="str">
        <f>HYPERLINK("http://ictvonline.org/taxonomyHistory.asp?taxnode_id=20174582","ICTVonline=20174582")</f>
        <v>ICTVonline=20174582</v>
      </c>
      <c r="L4163" s="3">
        <v>4162</v>
      </c>
    </row>
    <row r="4164" spans="1:12" x14ac:dyDescent="0.15">
      <c r="A4164" s="1" t="s">
        <v>908</v>
      </c>
      <c r="B4164" s="1" t="s">
        <v>483</v>
      </c>
      <c r="D4164" s="1" t="s">
        <v>591</v>
      </c>
      <c r="E4164" s="1" t="s">
        <v>2156</v>
      </c>
      <c r="F4164" s="3">
        <v>0</v>
      </c>
      <c r="G4164" s="8" t="s">
        <v>2773</v>
      </c>
      <c r="H4164" s="8" t="s">
        <v>5159</v>
      </c>
      <c r="I4164" s="3">
        <v>25</v>
      </c>
      <c r="J4164" s="3" t="s">
        <v>6358</v>
      </c>
      <c r="K4164" s="17" t="str">
        <f>HYPERLINK("http://ictvonline.org/taxonomyHistory.asp?taxnode_id=20174583","ICTVonline=20174583")</f>
        <v>ICTVonline=20174583</v>
      </c>
      <c r="L4164" s="3">
        <v>4163</v>
      </c>
    </row>
    <row r="4165" spans="1:12" x14ac:dyDescent="0.15">
      <c r="A4165" s="1" t="s">
        <v>908</v>
      </c>
      <c r="B4165" s="1" t="s">
        <v>483</v>
      </c>
      <c r="D4165" s="1" t="s">
        <v>591</v>
      </c>
      <c r="E4165" s="1" t="s">
        <v>2131</v>
      </c>
      <c r="F4165" s="3">
        <v>0</v>
      </c>
      <c r="G4165" s="8" t="s">
        <v>2773</v>
      </c>
      <c r="H4165" s="8" t="s">
        <v>5159</v>
      </c>
      <c r="I4165" s="3">
        <v>25</v>
      </c>
      <c r="J4165" s="3" t="s">
        <v>6356</v>
      </c>
      <c r="K4165" s="17" t="str">
        <f>HYPERLINK("http://ictvonline.org/taxonomyHistory.asp?taxnode_id=20174584","ICTVonline=20174584")</f>
        <v>ICTVonline=20174584</v>
      </c>
      <c r="L4165" s="3">
        <v>4164</v>
      </c>
    </row>
    <row r="4166" spans="1:12" x14ac:dyDescent="0.15">
      <c r="A4166" s="1" t="s">
        <v>908</v>
      </c>
      <c r="B4166" s="1" t="s">
        <v>483</v>
      </c>
      <c r="D4166" s="1" t="s">
        <v>591</v>
      </c>
      <c r="E4166" s="1" t="s">
        <v>1589</v>
      </c>
      <c r="F4166" s="3">
        <v>0</v>
      </c>
      <c r="G4166" s="8" t="s">
        <v>2773</v>
      </c>
      <c r="H4166" s="8" t="s">
        <v>5159</v>
      </c>
      <c r="I4166" s="3">
        <v>18</v>
      </c>
      <c r="J4166" s="3" t="s">
        <v>5597</v>
      </c>
      <c r="K4166" s="17" t="str">
        <f>HYPERLINK("http://ictvonline.org/taxonomyHistory.asp?taxnode_id=20174585","ICTVonline=20174585")</f>
        <v>ICTVonline=20174585</v>
      </c>
      <c r="L4166" s="3">
        <v>4165</v>
      </c>
    </row>
    <row r="4167" spans="1:12" x14ac:dyDescent="0.15">
      <c r="A4167" s="1" t="s">
        <v>908</v>
      </c>
      <c r="B4167" s="1" t="s">
        <v>483</v>
      </c>
      <c r="D4167" s="1" t="s">
        <v>591</v>
      </c>
      <c r="E4167" s="1" t="s">
        <v>2723</v>
      </c>
      <c r="F4167" s="3">
        <v>0</v>
      </c>
      <c r="G4167" s="8" t="s">
        <v>2773</v>
      </c>
      <c r="H4167" s="8" t="s">
        <v>5159</v>
      </c>
      <c r="I4167" s="3">
        <v>29</v>
      </c>
      <c r="J4167" s="3" t="s">
        <v>6360</v>
      </c>
      <c r="K4167" s="17" t="str">
        <f>HYPERLINK("http://ictvonline.org/taxonomyHistory.asp?taxnode_id=20174586","ICTVonline=20174586")</f>
        <v>ICTVonline=20174586</v>
      </c>
      <c r="L4167" s="3">
        <v>4166</v>
      </c>
    </row>
    <row r="4168" spans="1:12" x14ac:dyDescent="0.15">
      <c r="A4168" s="1" t="s">
        <v>908</v>
      </c>
      <c r="B4168" s="1" t="s">
        <v>483</v>
      </c>
      <c r="D4168" s="1" t="s">
        <v>591</v>
      </c>
      <c r="E4168" s="1" t="s">
        <v>6361</v>
      </c>
      <c r="F4168" s="3">
        <v>0</v>
      </c>
      <c r="G4168" s="8" t="s">
        <v>2773</v>
      </c>
      <c r="H4168" s="8" t="s">
        <v>5159</v>
      </c>
      <c r="I4168" s="3">
        <v>32</v>
      </c>
      <c r="J4168" s="3" t="s">
        <v>6347</v>
      </c>
      <c r="K4168" s="17" t="str">
        <f>HYPERLINK("http://ictvonline.org/taxonomyHistory.asp?taxnode_id=20175919","ICTVonline=20175919")</f>
        <v>ICTVonline=20175919</v>
      </c>
      <c r="L4168" s="3">
        <v>4167</v>
      </c>
    </row>
    <row r="4169" spans="1:12" x14ac:dyDescent="0.15">
      <c r="A4169" s="1" t="s">
        <v>908</v>
      </c>
      <c r="B4169" s="1" t="s">
        <v>483</v>
      </c>
      <c r="D4169" s="1" t="s">
        <v>591</v>
      </c>
      <c r="E4169" s="1" t="s">
        <v>2132</v>
      </c>
      <c r="F4169" s="3">
        <v>0</v>
      </c>
      <c r="G4169" s="8" t="s">
        <v>2773</v>
      </c>
      <c r="H4169" s="8" t="s">
        <v>5159</v>
      </c>
      <c r="I4169" s="3">
        <v>25</v>
      </c>
      <c r="J4169" s="3" t="s">
        <v>6356</v>
      </c>
      <c r="K4169" s="17" t="str">
        <f>HYPERLINK("http://ictvonline.org/taxonomyHistory.asp?taxnode_id=20174587","ICTVonline=20174587")</f>
        <v>ICTVonline=20174587</v>
      </c>
      <c r="L4169" s="3">
        <v>4168</v>
      </c>
    </row>
    <row r="4170" spans="1:12" x14ac:dyDescent="0.15">
      <c r="A4170" s="1" t="s">
        <v>908</v>
      </c>
      <c r="B4170" s="1" t="s">
        <v>483</v>
      </c>
      <c r="D4170" s="1" t="s">
        <v>591</v>
      </c>
      <c r="E4170" s="1" t="s">
        <v>1590</v>
      </c>
      <c r="F4170" s="3">
        <v>0</v>
      </c>
      <c r="G4170" s="8" t="s">
        <v>2773</v>
      </c>
      <c r="H4170" s="8" t="s">
        <v>5161</v>
      </c>
      <c r="I4170" s="3">
        <v>13</v>
      </c>
      <c r="J4170" s="3" t="s">
        <v>6016</v>
      </c>
      <c r="K4170" s="17" t="str">
        <f>HYPERLINK("http://ictvonline.org/taxonomyHistory.asp?taxnode_id=20174588","ICTVonline=20174588")</f>
        <v>ICTVonline=20174588</v>
      </c>
      <c r="L4170" s="3">
        <v>4169</v>
      </c>
    </row>
    <row r="4171" spans="1:12" x14ac:dyDescent="0.15">
      <c r="A4171" s="1" t="s">
        <v>908</v>
      </c>
      <c r="B4171" s="1" t="s">
        <v>483</v>
      </c>
      <c r="D4171" s="1" t="s">
        <v>591</v>
      </c>
      <c r="E4171" s="1" t="s">
        <v>1591</v>
      </c>
      <c r="F4171" s="3">
        <v>0</v>
      </c>
      <c r="G4171" s="8" t="s">
        <v>2773</v>
      </c>
      <c r="H4171" s="8" t="s">
        <v>5161</v>
      </c>
      <c r="I4171" s="3">
        <v>13</v>
      </c>
      <c r="J4171" s="3" t="s">
        <v>6016</v>
      </c>
      <c r="K4171" s="17" t="str">
        <f>HYPERLINK("http://ictvonline.org/taxonomyHistory.asp?taxnode_id=20174589","ICTVonline=20174589")</f>
        <v>ICTVonline=20174589</v>
      </c>
      <c r="L4171" s="3">
        <v>4170</v>
      </c>
    </row>
    <row r="4172" spans="1:12" x14ac:dyDescent="0.15">
      <c r="A4172" s="1" t="s">
        <v>908</v>
      </c>
      <c r="B4172" s="1" t="s">
        <v>483</v>
      </c>
      <c r="D4172" s="1" t="s">
        <v>591</v>
      </c>
      <c r="E4172" s="1" t="s">
        <v>1592</v>
      </c>
      <c r="F4172" s="3">
        <v>0</v>
      </c>
      <c r="G4172" s="8" t="s">
        <v>2773</v>
      </c>
      <c r="H4172" s="8" t="s">
        <v>5159</v>
      </c>
      <c r="I4172" s="3">
        <v>22</v>
      </c>
      <c r="J4172" s="3" t="s">
        <v>6345</v>
      </c>
      <c r="K4172" s="17" t="str">
        <f>HYPERLINK("http://ictvonline.org/taxonomyHistory.asp?taxnode_id=20174590","ICTVonline=20174590")</f>
        <v>ICTVonline=20174590</v>
      </c>
      <c r="L4172" s="3">
        <v>4171</v>
      </c>
    </row>
    <row r="4173" spans="1:12" x14ac:dyDescent="0.15">
      <c r="A4173" s="1" t="s">
        <v>908</v>
      </c>
      <c r="B4173" s="1" t="s">
        <v>483</v>
      </c>
      <c r="D4173" s="1" t="s">
        <v>591</v>
      </c>
      <c r="E4173" s="1" t="s">
        <v>4148</v>
      </c>
      <c r="F4173" s="3">
        <v>0</v>
      </c>
      <c r="G4173" s="8" t="s">
        <v>2773</v>
      </c>
      <c r="H4173" s="8" t="s">
        <v>5159</v>
      </c>
      <c r="I4173" s="3">
        <v>30</v>
      </c>
      <c r="J4173" s="3" t="s">
        <v>6352</v>
      </c>
      <c r="K4173" s="17" t="str">
        <f>HYPERLINK("http://ictvonline.org/taxonomyHistory.asp?taxnode_id=20174591","ICTVonline=20174591")</f>
        <v>ICTVonline=20174591</v>
      </c>
      <c r="L4173" s="3">
        <v>4172</v>
      </c>
    </row>
    <row r="4174" spans="1:12" x14ac:dyDescent="0.15">
      <c r="A4174" s="1" t="s">
        <v>908</v>
      </c>
      <c r="B4174" s="1" t="s">
        <v>483</v>
      </c>
      <c r="D4174" s="1" t="s">
        <v>591</v>
      </c>
      <c r="E4174" s="1" t="s">
        <v>1593</v>
      </c>
      <c r="F4174" s="3">
        <v>0</v>
      </c>
      <c r="G4174" s="8" t="s">
        <v>2773</v>
      </c>
      <c r="H4174" s="8" t="s">
        <v>5161</v>
      </c>
      <c r="I4174" s="3">
        <v>13</v>
      </c>
      <c r="J4174" s="3" t="s">
        <v>6016</v>
      </c>
      <c r="K4174" s="17" t="str">
        <f>HYPERLINK("http://ictvonline.org/taxonomyHistory.asp?taxnode_id=20174592","ICTVonline=20174592")</f>
        <v>ICTVonline=20174592</v>
      </c>
      <c r="L4174" s="3">
        <v>4173</v>
      </c>
    </row>
    <row r="4175" spans="1:12" x14ac:dyDescent="0.15">
      <c r="A4175" s="1" t="s">
        <v>908</v>
      </c>
      <c r="B4175" s="1" t="s">
        <v>483</v>
      </c>
      <c r="D4175" s="1" t="s">
        <v>591</v>
      </c>
      <c r="E4175" s="1" t="s">
        <v>1594</v>
      </c>
      <c r="F4175" s="3">
        <v>0</v>
      </c>
      <c r="G4175" s="8" t="s">
        <v>2773</v>
      </c>
      <c r="H4175" s="8" t="s">
        <v>5159</v>
      </c>
      <c r="I4175" s="3">
        <v>18</v>
      </c>
      <c r="J4175" s="3" t="s">
        <v>5597</v>
      </c>
      <c r="K4175" s="17" t="str">
        <f>HYPERLINK("http://ictvonline.org/taxonomyHistory.asp?taxnode_id=20174593","ICTVonline=20174593")</f>
        <v>ICTVonline=20174593</v>
      </c>
      <c r="L4175" s="3">
        <v>4174</v>
      </c>
    </row>
    <row r="4176" spans="1:12" x14ac:dyDescent="0.15">
      <c r="A4176" s="1" t="s">
        <v>908</v>
      </c>
      <c r="B4176" s="1" t="s">
        <v>483</v>
      </c>
      <c r="D4176" s="1" t="s">
        <v>591</v>
      </c>
      <c r="E4176" s="1" t="s">
        <v>2157</v>
      </c>
      <c r="F4176" s="3">
        <v>0</v>
      </c>
      <c r="G4176" s="8" t="s">
        <v>2773</v>
      </c>
      <c r="H4176" s="8" t="s">
        <v>5159</v>
      </c>
      <c r="I4176" s="3">
        <v>25</v>
      </c>
      <c r="J4176" s="3" t="s">
        <v>6358</v>
      </c>
      <c r="K4176" s="17" t="str">
        <f>HYPERLINK("http://ictvonline.org/taxonomyHistory.asp?taxnode_id=20174594","ICTVonline=20174594")</f>
        <v>ICTVonline=20174594</v>
      </c>
      <c r="L4176" s="3">
        <v>4175</v>
      </c>
    </row>
    <row r="4177" spans="1:12" x14ac:dyDescent="0.15">
      <c r="A4177" s="1" t="s">
        <v>908</v>
      </c>
      <c r="B4177" s="1" t="s">
        <v>483</v>
      </c>
      <c r="D4177" s="1" t="s">
        <v>591</v>
      </c>
      <c r="E4177" s="1" t="s">
        <v>1595</v>
      </c>
      <c r="F4177" s="3">
        <v>0</v>
      </c>
      <c r="G4177" s="8" t="s">
        <v>2773</v>
      </c>
      <c r="H4177" s="8" t="s">
        <v>5159</v>
      </c>
      <c r="I4177" s="3">
        <v>14</v>
      </c>
      <c r="J4177" s="3" t="s">
        <v>6027</v>
      </c>
      <c r="K4177" s="17" t="str">
        <f>HYPERLINK("http://ictvonline.org/taxonomyHistory.asp?taxnode_id=20174595","ICTVonline=20174595")</f>
        <v>ICTVonline=20174595</v>
      </c>
      <c r="L4177" s="3">
        <v>4176</v>
      </c>
    </row>
    <row r="4178" spans="1:12" x14ac:dyDescent="0.15">
      <c r="A4178" s="1" t="s">
        <v>908</v>
      </c>
      <c r="B4178" s="1" t="s">
        <v>483</v>
      </c>
      <c r="D4178" s="1" t="s">
        <v>591</v>
      </c>
      <c r="E4178" s="1" t="s">
        <v>1596</v>
      </c>
      <c r="F4178" s="3">
        <v>0</v>
      </c>
      <c r="G4178" s="8" t="s">
        <v>2773</v>
      </c>
      <c r="H4178" s="8" t="s">
        <v>5159</v>
      </c>
      <c r="I4178" s="3">
        <v>24</v>
      </c>
      <c r="J4178" s="3" t="s">
        <v>6357</v>
      </c>
      <c r="K4178" s="17" t="str">
        <f>HYPERLINK("http://ictvonline.org/taxonomyHistory.asp?taxnode_id=20174596","ICTVonline=20174596")</f>
        <v>ICTVonline=20174596</v>
      </c>
      <c r="L4178" s="3">
        <v>4177</v>
      </c>
    </row>
    <row r="4179" spans="1:12" x14ac:dyDescent="0.15">
      <c r="A4179" s="1" t="s">
        <v>908</v>
      </c>
      <c r="B4179" s="1" t="s">
        <v>483</v>
      </c>
      <c r="D4179" s="1" t="s">
        <v>591</v>
      </c>
      <c r="E4179" s="1" t="s">
        <v>1597</v>
      </c>
      <c r="F4179" s="3">
        <v>0</v>
      </c>
      <c r="G4179" s="8" t="s">
        <v>2773</v>
      </c>
      <c r="H4179" s="8" t="s">
        <v>5159</v>
      </c>
      <c r="I4179" s="3">
        <v>22</v>
      </c>
      <c r="J4179" s="3" t="s">
        <v>6345</v>
      </c>
      <c r="K4179" s="17" t="str">
        <f>HYPERLINK("http://ictvonline.org/taxonomyHistory.asp?taxnode_id=20174597","ICTVonline=20174597")</f>
        <v>ICTVonline=20174597</v>
      </c>
      <c r="L4179" s="3">
        <v>4178</v>
      </c>
    </row>
    <row r="4180" spans="1:12" x14ac:dyDescent="0.15">
      <c r="A4180" s="1" t="s">
        <v>908</v>
      </c>
      <c r="B4180" s="1" t="s">
        <v>483</v>
      </c>
      <c r="D4180" s="1" t="s">
        <v>591</v>
      </c>
      <c r="E4180" s="1" t="s">
        <v>1598</v>
      </c>
      <c r="F4180" s="3">
        <v>0</v>
      </c>
      <c r="G4180" s="8" t="s">
        <v>2773</v>
      </c>
      <c r="H4180" s="8" t="s">
        <v>5168</v>
      </c>
      <c r="I4180" s="3">
        <v>14</v>
      </c>
      <c r="J4180" s="3" t="s">
        <v>6027</v>
      </c>
      <c r="K4180" s="17" t="str">
        <f>HYPERLINK("http://ictvonline.org/taxonomyHistory.asp?taxnode_id=20174598","ICTVonline=20174598")</f>
        <v>ICTVonline=20174598</v>
      </c>
      <c r="L4180" s="3">
        <v>4179</v>
      </c>
    </row>
    <row r="4181" spans="1:12" x14ac:dyDescent="0.15">
      <c r="A4181" s="1" t="s">
        <v>908</v>
      </c>
      <c r="B4181" s="1" t="s">
        <v>483</v>
      </c>
      <c r="D4181" s="1" t="s">
        <v>591</v>
      </c>
      <c r="E4181" s="1" t="s">
        <v>2113</v>
      </c>
      <c r="F4181" s="3">
        <v>0</v>
      </c>
      <c r="G4181" s="8" t="s">
        <v>2773</v>
      </c>
      <c r="H4181" s="8" t="s">
        <v>5161</v>
      </c>
      <c r="I4181" s="3">
        <v>13</v>
      </c>
      <c r="J4181" s="3" t="s">
        <v>6016</v>
      </c>
      <c r="K4181" s="17" t="str">
        <f>HYPERLINK("http://ictvonline.org/taxonomyHistory.asp?taxnode_id=20174599","ICTVonline=20174599")</f>
        <v>ICTVonline=20174599</v>
      </c>
      <c r="L4181" s="3">
        <v>4180</v>
      </c>
    </row>
    <row r="4182" spans="1:12" x14ac:dyDescent="0.15">
      <c r="A4182" s="1" t="s">
        <v>908</v>
      </c>
      <c r="B4182" s="1" t="s">
        <v>483</v>
      </c>
      <c r="D4182" s="1" t="s">
        <v>591</v>
      </c>
      <c r="E4182" s="1" t="s">
        <v>2114</v>
      </c>
      <c r="F4182" s="3">
        <v>0</v>
      </c>
      <c r="G4182" s="8" t="s">
        <v>2773</v>
      </c>
      <c r="H4182" s="8" t="s">
        <v>5161</v>
      </c>
      <c r="I4182" s="3">
        <v>13</v>
      </c>
      <c r="J4182" s="3" t="s">
        <v>6016</v>
      </c>
      <c r="K4182" s="17" t="str">
        <f>HYPERLINK("http://ictvonline.org/taxonomyHistory.asp?taxnode_id=20174600","ICTVonline=20174600")</f>
        <v>ICTVonline=20174600</v>
      </c>
      <c r="L4182" s="3">
        <v>4181</v>
      </c>
    </row>
    <row r="4183" spans="1:12" x14ac:dyDescent="0.15">
      <c r="A4183" s="1" t="s">
        <v>908</v>
      </c>
      <c r="B4183" s="1" t="s">
        <v>483</v>
      </c>
      <c r="D4183" s="1" t="s">
        <v>591</v>
      </c>
      <c r="E4183" s="1" t="s">
        <v>2115</v>
      </c>
      <c r="F4183" s="3">
        <v>0</v>
      </c>
      <c r="G4183" s="8" t="s">
        <v>2773</v>
      </c>
      <c r="H4183" s="8" t="s">
        <v>5161</v>
      </c>
      <c r="I4183" s="3">
        <v>13</v>
      </c>
      <c r="J4183" s="3" t="s">
        <v>6016</v>
      </c>
      <c r="K4183" s="17" t="str">
        <f>HYPERLINK("http://ictvonline.org/taxonomyHistory.asp?taxnode_id=20174601","ICTVonline=20174601")</f>
        <v>ICTVonline=20174601</v>
      </c>
      <c r="L4183" s="3">
        <v>4182</v>
      </c>
    </row>
    <row r="4184" spans="1:12" x14ac:dyDescent="0.15">
      <c r="A4184" s="1" t="s">
        <v>908</v>
      </c>
      <c r="B4184" s="1" t="s">
        <v>483</v>
      </c>
      <c r="D4184" s="1" t="s">
        <v>591</v>
      </c>
      <c r="E4184" s="1" t="s">
        <v>2116</v>
      </c>
      <c r="F4184" s="3">
        <v>0</v>
      </c>
      <c r="G4184" s="8" t="s">
        <v>2773</v>
      </c>
      <c r="H4184" s="8" t="s">
        <v>5161</v>
      </c>
      <c r="I4184" s="3">
        <v>13</v>
      </c>
      <c r="J4184" s="3" t="s">
        <v>6016</v>
      </c>
      <c r="K4184" s="17" t="str">
        <f>HYPERLINK("http://ictvonline.org/taxonomyHistory.asp?taxnode_id=20174602","ICTVonline=20174602")</f>
        <v>ICTVonline=20174602</v>
      </c>
      <c r="L4184" s="3">
        <v>4183</v>
      </c>
    </row>
    <row r="4185" spans="1:12" x14ac:dyDescent="0.15">
      <c r="A4185" s="1" t="s">
        <v>908</v>
      </c>
      <c r="B4185" s="1" t="s">
        <v>483</v>
      </c>
      <c r="D4185" s="1" t="s">
        <v>591</v>
      </c>
      <c r="E4185" s="1" t="s">
        <v>2117</v>
      </c>
      <c r="F4185" s="3">
        <v>0</v>
      </c>
      <c r="G4185" s="8" t="s">
        <v>2773</v>
      </c>
      <c r="H4185" s="8" t="s">
        <v>5159</v>
      </c>
      <c r="I4185" s="3">
        <v>22</v>
      </c>
      <c r="J4185" s="3" t="s">
        <v>6345</v>
      </c>
      <c r="K4185" s="17" t="str">
        <f>HYPERLINK("http://ictvonline.org/taxonomyHistory.asp?taxnode_id=20174603","ICTVonline=20174603")</f>
        <v>ICTVonline=20174603</v>
      </c>
      <c r="L4185" s="3">
        <v>4184</v>
      </c>
    </row>
    <row r="4186" spans="1:12" x14ac:dyDescent="0.15">
      <c r="A4186" s="1" t="s">
        <v>908</v>
      </c>
      <c r="B4186" s="1" t="s">
        <v>483</v>
      </c>
      <c r="D4186" s="1" t="s">
        <v>591</v>
      </c>
      <c r="E4186" s="1" t="s">
        <v>2724</v>
      </c>
      <c r="F4186" s="3">
        <v>0</v>
      </c>
      <c r="G4186" s="8" t="s">
        <v>2773</v>
      </c>
      <c r="H4186" s="8" t="s">
        <v>5159</v>
      </c>
      <c r="I4186" s="3">
        <v>29</v>
      </c>
      <c r="J4186" s="3" t="s">
        <v>6360</v>
      </c>
      <c r="K4186" s="17" t="str">
        <f>HYPERLINK("http://ictvonline.org/taxonomyHistory.asp?taxnode_id=20174604","ICTVonline=20174604")</f>
        <v>ICTVonline=20174604</v>
      </c>
      <c r="L4186" s="3">
        <v>4185</v>
      </c>
    </row>
    <row r="4187" spans="1:12" x14ac:dyDescent="0.15">
      <c r="A4187" s="1" t="s">
        <v>908</v>
      </c>
      <c r="B4187" s="1" t="s">
        <v>483</v>
      </c>
      <c r="D4187" s="1" t="s">
        <v>591</v>
      </c>
      <c r="E4187" s="1" t="s">
        <v>2118</v>
      </c>
      <c r="F4187" s="3">
        <v>0</v>
      </c>
      <c r="G4187" s="8" t="s">
        <v>2773</v>
      </c>
      <c r="H4187" s="8" t="s">
        <v>5159</v>
      </c>
      <c r="I4187" s="3">
        <v>24</v>
      </c>
      <c r="J4187" s="3" t="s">
        <v>6357</v>
      </c>
      <c r="K4187" s="17" t="str">
        <f>HYPERLINK("http://ictvonline.org/taxonomyHistory.asp?taxnode_id=20174605","ICTVonline=20174605")</f>
        <v>ICTVonline=20174605</v>
      </c>
      <c r="L4187" s="3">
        <v>4186</v>
      </c>
    </row>
    <row r="4188" spans="1:12" x14ac:dyDescent="0.15">
      <c r="A4188" s="1" t="s">
        <v>908</v>
      </c>
      <c r="B4188" s="1" t="s">
        <v>483</v>
      </c>
      <c r="D4188" s="1" t="s">
        <v>591</v>
      </c>
      <c r="E4188" s="1" t="s">
        <v>6362</v>
      </c>
      <c r="F4188" s="3">
        <v>0</v>
      </c>
      <c r="G4188" s="8" t="s">
        <v>2773</v>
      </c>
      <c r="H4188" s="8" t="s">
        <v>5159</v>
      </c>
      <c r="I4188" s="3">
        <v>32</v>
      </c>
      <c r="J4188" s="3" t="s">
        <v>6347</v>
      </c>
      <c r="K4188" s="17" t="str">
        <f>HYPERLINK("http://ictvonline.org/taxonomyHistory.asp?taxnode_id=20175920","ICTVonline=20175920")</f>
        <v>ICTVonline=20175920</v>
      </c>
      <c r="L4188" s="3">
        <v>4187</v>
      </c>
    </row>
    <row r="4189" spans="1:12" x14ac:dyDescent="0.15">
      <c r="A4189" s="1" t="s">
        <v>908</v>
      </c>
      <c r="B4189" s="1" t="s">
        <v>483</v>
      </c>
      <c r="D4189" s="1" t="s">
        <v>591</v>
      </c>
      <c r="E4189" s="1" t="s">
        <v>2119</v>
      </c>
      <c r="F4189" s="3">
        <v>0</v>
      </c>
      <c r="G4189" s="8" t="s">
        <v>2773</v>
      </c>
      <c r="H4189" s="8" t="s">
        <v>5161</v>
      </c>
      <c r="I4189" s="3">
        <v>13</v>
      </c>
      <c r="J4189" s="3" t="s">
        <v>6016</v>
      </c>
      <c r="K4189" s="17" t="str">
        <f>HYPERLINK("http://ictvonline.org/taxonomyHistory.asp?taxnode_id=20174606","ICTVonline=20174606")</f>
        <v>ICTVonline=20174606</v>
      </c>
      <c r="L4189" s="3">
        <v>4188</v>
      </c>
    </row>
    <row r="4190" spans="1:12" x14ac:dyDescent="0.15">
      <c r="A4190" s="1" t="s">
        <v>908</v>
      </c>
      <c r="B4190" s="1" t="s">
        <v>483</v>
      </c>
      <c r="D4190" s="1" t="s">
        <v>591</v>
      </c>
      <c r="E4190" s="1" t="s">
        <v>2120</v>
      </c>
      <c r="F4190" s="3">
        <v>0</v>
      </c>
      <c r="G4190" s="8" t="s">
        <v>2773</v>
      </c>
      <c r="H4190" s="8" t="s">
        <v>5161</v>
      </c>
      <c r="I4190" s="3">
        <v>13</v>
      </c>
      <c r="J4190" s="3" t="s">
        <v>6016</v>
      </c>
      <c r="K4190" s="17" t="str">
        <f>HYPERLINK("http://ictvonline.org/taxonomyHistory.asp?taxnode_id=20174607","ICTVonline=20174607")</f>
        <v>ICTVonline=20174607</v>
      </c>
      <c r="L4190" s="3">
        <v>4189</v>
      </c>
    </row>
    <row r="4191" spans="1:12" x14ac:dyDescent="0.15">
      <c r="A4191" s="1" t="s">
        <v>908</v>
      </c>
      <c r="B4191" s="1" t="s">
        <v>483</v>
      </c>
      <c r="D4191" s="1" t="s">
        <v>591</v>
      </c>
      <c r="E4191" s="1" t="s">
        <v>2121</v>
      </c>
      <c r="F4191" s="3">
        <v>0</v>
      </c>
      <c r="G4191" s="8" t="s">
        <v>2773</v>
      </c>
      <c r="H4191" s="8" t="s">
        <v>5159</v>
      </c>
      <c r="I4191" s="3">
        <v>22</v>
      </c>
      <c r="J4191" s="3" t="s">
        <v>6345</v>
      </c>
      <c r="K4191" s="17" t="str">
        <f>HYPERLINK("http://ictvonline.org/taxonomyHistory.asp?taxnode_id=20174608","ICTVonline=20174608")</f>
        <v>ICTVonline=20174608</v>
      </c>
      <c r="L4191" s="3">
        <v>4190</v>
      </c>
    </row>
    <row r="4192" spans="1:12" x14ac:dyDescent="0.15">
      <c r="A4192" s="1" t="s">
        <v>908</v>
      </c>
      <c r="B4192" s="1" t="s">
        <v>483</v>
      </c>
      <c r="D4192" s="1" t="s">
        <v>591</v>
      </c>
      <c r="E4192" s="1" t="s">
        <v>4149</v>
      </c>
      <c r="F4192" s="3">
        <v>0</v>
      </c>
      <c r="G4192" s="8" t="s">
        <v>2773</v>
      </c>
      <c r="H4192" s="8" t="s">
        <v>5159</v>
      </c>
      <c r="I4192" s="3">
        <v>30</v>
      </c>
      <c r="J4192" s="3" t="s">
        <v>6352</v>
      </c>
      <c r="K4192" s="17" t="str">
        <f>HYPERLINK("http://ictvonline.org/taxonomyHistory.asp?taxnode_id=20174609","ICTVonline=20174609")</f>
        <v>ICTVonline=20174609</v>
      </c>
      <c r="L4192" s="3">
        <v>4191</v>
      </c>
    </row>
    <row r="4193" spans="1:12" x14ac:dyDescent="0.15">
      <c r="A4193" s="1" t="s">
        <v>908</v>
      </c>
      <c r="B4193" s="1" t="s">
        <v>483</v>
      </c>
      <c r="D4193" s="1" t="s">
        <v>591</v>
      </c>
      <c r="E4193" s="1" t="s">
        <v>2122</v>
      </c>
      <c r="F4193" s="3">
        <v>0</v>
      </c>
      <c r="G4193" s="8" t="s">
        <v>2773</v>
      </c>
      <c r="H4193" s="8" t="s">
        <v>5159</v>
      </c>
      <c r="I4193" s="3">
        <v>24</v>
      </c>
      <c r="J4193" s="3" t="s">
        <v>6357</v>
      </c>
      <c r="K4193" s="17" t="str">
        <f>HYPERLINK("http://ictvonline.org/taxonomyHistory.asp?taxnode_id=20174610","ICTVonline=20174610")</f>
        <v>ICTVonline=20174610</v>
      </c>
      <c r="L4193" s="3">
        <v>4192</v>
      </c>
    </row>
    <row r="4194" spans="1:12" x14ac:dyDescent="0.15">
      <c r="A4194" s="1" t="s">
        <v>908</v>
      </c>
      <c r="B4194" s="1" t="s">
        <v>483</v>
      </c>
      <c r="D4194" s="1" t="s">
        <v>591</v>
      </c>
      <c r="E4194" s="1" t="s">
        <v>2123</v>
      </c>
      <c r="F4194" s="3">
        <v>0</v>
      </c>
      <c r="G4194" s="8" t="s">
        <v>2773</v>
      </c>
      <c r="H4194" s="8" t="s">
        <v>5159</v>
      </c>
      <c r="I4194" s="3">
        <v>18</v>
      </c>
      <c r="J4194" s="3" t="s">
        <v>5597</v>
      </c>
      <c r="K4194" s="17" t="str">
        <f>HYPERLINK("http://ictvonline.org/taxonomyHistory.asp?taxnode_id=20174611","ICTVonline=20174611")</f>
        <v>ICTVonline=20174611</v>
      </c>
      <c r="L4194" s="3">
        <v>4193</v>
      </c>
    </row>
    <row r="4195" spans="1:12" x14ac:dyDescent="0.15">
      <c r="A4195" s="1" t="s">
        <v>908</v>
      </c>
      <c r="B4195" s="1" t="s">
        <v>483</v>
      </c>
      <c r="D4195" s="1" t="s">
        <v>591</v>
      </c>
      <c r="E4195" s="1" t="s">
        <v>2124</v>
      </c>
      <c r="F4195" s="3">
        <v>0</v>
      </c>
      <c r="G4195" s="8" t="s">
        <v>2773</v>
      </c>
      <c r="H4195" s="8" t="s">
        <v>5159</v>
      </c>
      <c r="I4195" s="3">
        <v>24</v>
      </c>
      <c r="J4195" s="3" t="s">
        <v>6357</v>
      </c>
      <c r="K4195" s="17" t="str">
        <f>HYPERLINK("http://ictvonline.org/taxonomyHistory.asp?taxnode_id=20174612","ICTVonline=20174612")</f>
        <v>ICTVonline=20174612</v>
      </c>
      <c r="L4195" s="3">
        <v>4194</v>
      </c>
    </row>
    <row r="4196" spans="1:12" x14ac:dyDescent="0.15">
      <c r="A4196" s="1" t="s">
        <v>908</v>
      </c>
      <c r="B4196" s="1" t="s">
        <v>483</v>
      </c>
      <c r="D4196" s="1" t="s">
        <v>591</v>
      </c>
      <c r="E4196" s="1" t="s">
        <v>2125</v>
      </c>
      <c r="F4196" s="3">
        <v>0</v>
      </c>
      <c r="G4196" s="8" t="s">
        <v>2773</v>
      </c>
      <c r="H4196" s="8" t="s">
        <v>5168</v>
      </c>
      <c r="I4196" s="3">
        <v>25</v>
      </c>
      <c r="J4196" s="3" t="s">
        <v>6363</v>
      </c>
      <c r="K4196" s="17" t="str">
        <f>HYPERLINK("http://ictvonline.org/taxonomyHistory.asp?taxnode_id=20174613","ICTVonline=20174613")</f>
        <v>ICTVonline=20174613</v>
      </c>
      <c r="L4196" s="3">
        <v>4195</v>
      </c>
    </row>
    <row r="4197" spans="1:12" x14ac:dyDescent="0.15">
      <c r="A4197" s="1" t="s">
        <v>908</v>
      </c>
      <c r="B4197" s="1" t="s">
        <v>483</v>
      </c>
      <c r="D4197" s="1" t="s">
        <v>591</v>
      </c>
      <c r="E4197" s="1" t="s">
        <v>2126</v>
      </c>
      <c r="F4197" s="3">
        <v>0</v>
      </c>
      <c r="G4197" s="8" t="s">
        <v>2773</v>
      </c>
      <c r="H4197" s="8" t="s">
        <v>5159</v>
      </c>
      <c r="I4197" s="3">
        <v>24</v>
      </c>
      <c r="J4197" s="3" t="s">
        <v>6357</v>
      </c>
      <c r="K4197" s="17" t="str">
        <f>HYPERLINK("http://ictvonline.org/taxonomyHistory.asp?taxnode_id=20174614","ICTVonline=20174614")</f>
        <v>ICTVonline=20174614</v>
      </c>
      <c r="L4197" s="3">
        <v>4196</v>
      </c>
    </row>
    <row r="4198" spans="1:12" x14ac:dyDescent="0.15">
      <c r="A4198" s="1" t="s">
        <v>908</v>
      </c>
      <c r="B4198" s="1" t="s">
        <v>483</v>
      </c>
      <c r="D4198" s="1" t="s">
        <v>591</v>
      </c>
      <c r="E4198" s="1" t="s">
        <v>2127</v>
      </c>
      <c r="F4198" s="3">
        <v>0</v>
      </c>
      <c r="G4198" s="8" t="s">
        <v>2773</v>
      </c>
      <c r="H4198" s="8" t="s">
        <v>5161</v>
      </c>
      <c r="I4198" s="3">
        <v>13</v>
      </c>
      <c r="J4198" s="3" t="s">
        <v>6016</v>
      </c>
      <c r="K4198" s="17" t="str">
        <f>HYPERLINK("http://ictvonline.org/taxonomyHistory.asp?taxnode_id=20174615","ICTVonline=20174615")</f>
        <v>ICTVonline=20174615</v>
      </c>
      <c r="L4198" s="3">
        <v>4197</v>
      </c>
    </row>
    <row r="4199" spans="1:12" x14ac:dyDescent="0.15">
      <c r="A4199" s="1" t="s">
        <v>908</v>
      </c>
      <c r="B4199" s="1" t="s">
        <v>483</v>
      </c>
      <c r="D4199" s="1" t="s">
        <v>591</v>
      </c>
      <c r="E4199" s="1" t="s">
        <v>2725</v>
      </c>
      <c r="F4199" s="3">
        <v>0</v>
      </c>
      <c r="G4199" s="8" t="s">
        <v>2773</v>
      </c>
      <c r="H4199" s="8" t="s">
        <v>5159</v>
      </c>
      <c r="I4199" s="3">
        <v>29</v>
      </c>
      <c r="J4199" s="3" t="s">
        <v>6360</v>
      </c>
      <c r="K4199" s="17" t="str">
        <f>HYPERLINK("http://ictvonline.org/taxonomyHistory.asp?taxnode_id=20174616","ICTVonline=20174616")</f>
        <v>ICTVonline=20174616</v>
      </c>
      <c r="L4199" s="3">
        <v>4198</v>
      </c>
    </row>
    <row r="4200" spans="1:12" x14ac:dyDescent="0.15">
      <c r="A4200" s="1" t="s">
        <v>908</v>
      </c>
      <c r="B4200" s="1" t="s">
        <v>483</v>
      </c>
      <c r="D4200" s="1" t="s">
        <v>591</v>
      </c>
      <c r="E4200" s="1" t="s">
        <v>2133</v>
      </c>
      <c r="F4200" s="3">
        <v>0</v>
      </c>
      <c r="G4200" s="8" t="s">
        <v>2773</v>
      </c>
      <c r="H4200" s="8" t="s">
        <v>5159</v>
      </c>
      <c r="I4200" s="3">
        <v>25</v>
      </c>
      <c r="J4200" s="3" t="s">
        <v>6356</v>
      </c>
      <c r="K4200" s="17" t="str">
        <f>HYPERLINK("http://ictvonline.org/taxonomyHistory.asp?taxnode_id=20174617","ICTVonline=20174617")</f>
        <v>ICTVonline=20174617</v>
      </c>
      <c r="L4200" s="3">
        <v>4199</v>
      </c>
    </row>
    <row r="4201" spans="1:12" x14ac:dyDescent="0.15">
      <c r="A4201" s="1" t="s">
        <v>908</v>
      </c>
      <c r="B4201" s="1" t="s">
        <v>483</v>
      </c>
      <c r="D4201" s="1" t="s">
        <v>591</v>
      </c>
      <c r="E4201" s="1" t="s">
        <v>532</v>
      </c>
      <c r="F4201" s="3">
        <v>0</v>
      </c>
      <c r="G4201" s="8" t="s">
        <v>2773</v>
      </c>
      <c r="H4201" s="8" t="s">
        <v>5161</v>
      </c>
      <c r="I4201" s="3">
        <v>13</v>
      </c>
      <c r="J4201" s="3" t="s">
        <v>6016</v>
      </c>
      <c r="K4201" s="17" t="str">
        <f>HYPERLINK("http://ictvonline.org/taxonomyHistory.asp?taxnode_id=20174618","ICTVonline=20174618")</f>
        <v>ICTVonline=20174618</v>
      </c>
      <c r="L4201" s="3">
        <v>4200</v>
      </c>
    </row>
    <row r="4202" spans="1:12" x14ac:dyDescent="0.15">
      <c r="A4202" s="1" t="s">
        <v>908</v>
      </c>
      <c r="B4202" s="1" t="s">
        <v>483</v>
      </c>
      <c r="D4202" s="1" t="s">
        <v>591</v>
      </c>
      <c r="E4202" s="1" t="s">
        <v>533</v>
      </c>
      <c r="F4202" s="3">
        <v>0</v>
      </c>
      <c r="G4202" s="8" t="s">
        <v>2773</v>
      </c>
      <c r="H4202" s="8" t="s">
        <v>5159</v>
      </c>
      <c r="I4202" s="3">
        <v>23</v>
      </c>
      <c r="J4202" s="3" t="s">
        <v>6020</v>
      </c>
      <c r="K4202" s="17" t="str">
        <f>HYPERLINK("http://ictvonline.org/taxonomyHistory.asp?taxnode_id=20174619","ICTVonline=20174619")</f>
        <v>ICTVonline=20174619</v>
      </c>
      <c r="L4202" s="3">
        <v>4201</v>
      </c>
    </row>
    <row r="4203" spans="1:12" x14ac:dyDescent="0.15">
      <c r="A4203" s="1" t="s">
        <v>908</v>
      </c>
      <c r="B4203" s="1" t="s">
        <v>483</v>
      </c>
      <c r="D4203" s="1" t="s">
        <v>591</v>
      </c>
      <c r="E4203" s="1" t="s">
        <v>534</v>
      </c>
      <c r="F4203" s="3">
        <v>0</v>
      </c>
      <c r="G4203" s="8" t="s">
        <v>2773</v>
      </c>
      <c r="H4203" s="8" t="s">
        <v>5161</v>
      </c>
      <c r="I4203" s="3">
        <v>13</v>
      </c>
      <c r="J4203" s="3" t="s">
        <v>6016</v>
      </c>
      <c r="K4203" s="17" t="str">
        <f>HYPERLINK("http://ictvonline.org/taxonomyHistory.asp?taxnode_id=20174620","ICTVonline=20174620")</f>
        <v>ICTVonline=20174620</v>
      </c>
      <c r="L4203" s="3">
        <v>4202</v>
      </c>
    </row>
    <row r="4204" spans="1:12" x14ac:dyDescent="0.15">
      <c r="A4204" s="1" t="s">
        <v>908</v>
      </c>
      <c r="B4204" s="1" t="s">
        <v>483</v>
      </c>
      <c r="D4204" s="1" t="s">
        <v>591</v>
      </c>
      <c r="E4204" s="1" t="s">
        <v>535</v>
      </c>
      <c r="F4204" s="3">
        <v>0</v>
      </c>
      <c r="G4204" s="8" t="s">
        <v>2773</v>
      </c>
      <c r="H4204" s="8" t="s">
        <v>5159</v>
      </c>
      <c r="I4204" s="3">
        <v>17</v>
      </c>
      <c r="J4204" s="3" t="s">
        <v>5970</v>
      </c>
      <c r="K4204" s="17" t="str">
        <f>HYPERLINK("http://ictvonline.org/taxonomyHistory.asp?taxnode_id=20174621","ICTVonline=20174621")</f>
        <v>ICTVonline=20174621</v>
      </c>
      <c r="L4204" s="3">
        <v>4203</v>
      </c>
    </row>
    <row r="4205" spans="1:12" x14ac:dyDescent="0.15">
      <c r="A4205" s="1" t="s">
        <v>908</v>
      </c>
      <c r="B4205" s="1" t="s">
        <v>483</v>
      </c>
      <c r="D4205" s="1" t="s">
        <v>591</v>
      </c>
      <c r="E4205" s="1" t="s">
        <v>6364</v>
      </c>
      <c r="F4205" s="3">
        <v>0</v>
      </c>
      <c r="G4205" s="8" t="s">
        <v>2773</v>
      </c>
      <c r="H4205" s="8" t="s">
        <v>5159</v>
      </c>
      <c r="I4205" s="3">
        <v>32</v>
      </c>
      <c r="J4205" s="3" t="s">
        <v>6347</v>
      </c>
      <c r="K4205" s="17" t="str">
        <f>HYPERLINK("http://ictvonline.org/taxonomyHistory.asp?taxnode_id=20175921","ICTVonline=20175921")</f>
        <v>ICTVonline=20175921</v>
      </c>
      <c r="L4205" s="3">
        <v>4204</v>
      </c>
    </row>
    <row r="4206" spans="1:12" x14ac:dyDescent="0.15">
      <c r="A4206" s="1" t="s">
        <v>908</v>
      </c>
      <c r="B4206" s="1" t="s">
        <v>483</v>
      </c>
      <c r="D4206" s="1" t="s">
        <v>591</v>
      </c>
      <c r="E4206" s="1" t="s">
        <v>536</v>
      </c>
      <c r="F4206" s="3">
        <v>0</v>
      </c>
      <c r="G4206" s="8" t="s">
        <v>2773</v>
      </c>
      <c r="H4206" s="8" t="s">
        <v>5161</v>
      </c>
      <c r="I4206" s="3">
        <v>13</v>
      </c>
      <c r="J4206" s="3" t="s">
        <v>6016</v>
      </c>
      <c r="K4206" s="17" t="str">
        <f>HYPERLINK("http://ictvonline.org/taxonomyHistory.asp?taxnode_id=20174622","ICTVonline=20174622")</f>
        <v>ICTVonline=20174622</v>
      </c>
      <c r="L4206" s="3">
        <v>4205</v>
      </c>
    </row>
    <row r="4207" spans="1:12" x14ac:dyDescent="0.15">
      <c r="A4207" s="1" t="s">
        <v>908</v>
      </c>
      <c r="B4207" s="1" t="s">
        <v>483</v>
      </c>
      <c r="D4207" s="1" t="s">
        <v>591</v>
      </c>
      <c r="E4207" s="1" t="s">
        <v>537</v>
      </c>
      <c r="F4207" s="3">
        <v>0</v>
      </c>
      <c r="G4207" s="8" t="s">
        <v>2773</v>
      </c>
      <c r="H4207" s="8" t="s">
        <v>5161</v>
      </c>
      <c r="I4207" s="3">
        <v>13</v>
      </c>
      <c r="J4207" s="3" t="s">
        <v>6016</v>
      </c>
      <c r="K4207" s="17" t="str">
        <f>HYPERLINK("http://ictvonline.org/taxonomyHistory.asp?taxnode_id=20174623","ICTVonline=20174623")</f>
        <v>ICTVonline=20174623</v>
      </c>
      <c r="L4207" s="3">
        <v>4206</v>
      </c>
    </row>
    <row r="4208" spans="1:12" x14ac:dyDescent="0.15">
      <c r="A4208" s="1" t="s">
        <v>908</v>
      </c>
      <c r="B4208" s="1" t="s">
        <v>483</v>
      </c>
      <c r="D4208" s="1" t="s">
        <v>591</v>
      </c>
      <c r="E4208" s="1" t="s">
        <v>538</v>
      </c>
      <c r="F4208" s="3">
        <v>0</v>
      </c>
      <c r="G4208" s="8" t="s">
        <v>2773</v>
      </c>
      <c r="H4208" s="8" t="s">
        <v>5161</v>
      </c>
      <c r="I4208" s="3">
        <v>13</v>
      </c>
      <c r="J4208" s="3" t="s">
        <v>6016</v>
      </c>
      <c r="K4208" s="17" t="str">
        <f>HYPERLINK("http://ictvonline.org/taxonomyHistory.asp?taxnode_id=20174624","ICTVonline=20174624")</f>
        <v>ICTVonline=20174624</v>
      </c>
      <c r="L4208" s="3">
        <v>4207</v>
      </c>
    </row>
    <row r="4209" spans="1:12" x14ac:dyDescent="0.15">
      <c r="A4209" s="1" t="s">
        <v>908</v>
      </c>
      <c r="B4209" s="1" t="s">
        <v>483</v>
      </c>
      <c r="D4209" s="1" t="s">
        <v>591</v>
      </c>
      <c r="E4209" s="1" t="s">
        <v>539</v>
      </c>
      <c r="F4209" s="3">
        <v>0</v>
      </c>
      <c r="G4209" s="8" t="s">
        <v>2773</v>
      </c>
      <c r="H4209" s="8" t="s">
        <v>5159</v>
      </c>
      <c r="I4209" s="3">
        <v>22</v>
      </c>
      <c r="J4209" s="3" t="s">
        <v>6345</v>
      </c>
      <c r="K4209" s="17" t="str">
        <f>HYPERLINK("http://ictvonline.org/taxonomyHistory.asp?taxnode_id=20174625","ICTVonline=20174625")</f>
        <v>ICTVonline=20174625</v>
      </c>
      <c r="L4209" s="3">
        <v>4208</v>
      </c>
    </row>
    <row r="4210" spans="1:12" x14ac:dyDescent="0.15">
      <c r="A4210" s="1" t="s">
        <v>908</v>
      </c>
      <c r="B4210" s="1" t="s">
        <v>483</v>
      </c>
      <c r="D4210" s="1" t="s">
        <v>591</v>
      </c>
      <c r="E4210" s="1" t="s">
        <v>5058</v>
      </c>
      <c r="F4210" s="3">
        <v>0</v>
      </c>
      <c r="G4210" s="8" t="s">
        <v>2773</v>
      </c>
      <c r="H4210" s="8" t="s">
        <v>5159</v>
      </c>
      <c r="I4210" s="3">
        <v>31</v>
      </c>
      <c r="J4210" s="3" t="s">
        <v>6365</v>
      </c>
      <c r="K4210" s="17" t="str">
        <f>HYPERLINK("http://ictvonline.org/taxonomyHistory.asp?taxnode_id=20174626","ICTVonline=20174626")</f>
        <v>ICTVonline=20174626</v>
      </c>
      <c r="L4210" s="3">
        <v>4209</v>
      </c>
    </row>
    <row r="4211" spans="1:12" x14ac:dyDescent="0.15">
      <c r="A4211" s="1" t="s">
        <v>908</v>
      </c>
      <c r="B4211" s="1" t="s">
        <v>483</v>
      </c>
      <c r="D4211" s="1" t="s">
        <v>591</v>
      </c>
      <c r="E4211" s="1" t="s">
        <v>540</v>
      </c>
      <c r="F4211" s="3">
        <v>0</v>
      </c>
      <c r="G4211" s="8" t="s">
        <v>2773</v>
      </c>
      <c r="H4211" s="8" t="s">
        <v>5161</v>
      </c>
      <c r="I4211" s="3">
        <v>13</v>
      </c>
      <c r="J4211" s="3" t="s">
        <v>6016</v>
      </c>
      <c r="K4211" s="17" t="str">
        <f>HYPERLINK("http://ictvonline.org/taxonomyHistory.asp?taxnode_id=20174627","ICTVonline=20174627")</f>
        <v>ICTVonline=20174627</v>
      </c>
      <c r="L4211" s="3">
        <v>4210</v>
      </c>
    </row>
    <row r="4212" spans="1:12" x14ac:dyDescent="0.15">
      <c r="A4212" s="1" t="s">
        <v>908</v>
      </c>
      <c r="B4212" s="1" t="s">
        <v>483</v>
      </c>
      <c r="D4212" s="1" t="s">
        <v>591</v>
      </c>
      <c r="E4212" s="1" t="s">
        <v>6366</v>
      </c>
      <c r="F4212" s="3">
        <v>0</v>
      </c>
      <c r="G4212" s="8" t="s">
        <v>2773</v>
      </c>
      <c r="H4212" s="8" t="s">
        <v>5162</v>
      </c>
      <c r="I4212" s="3">
        <v>32</v>
      </c>
      <c r="J4212" s="3" t="s">
        <v>5564</v>
      </c>
      <c r="K4212" s="17" t="str">
        <f>HYPERLINK("http://ictvonline.org/taxonomyHistory.asp?taxnode_id=20174628","ICTVonline=20174628")</f>
        <v>ICTVonline=20174628</v>
      </c>
      <c r="L4212" s="3">
        <v>4211</v>
      </c>
    </row>
    <row r="4213" spans="1:12" x14ac:dyDescent="0.15">
      <c r="A4213" s="1" t="s">
        <v>908</v>
      </c>
      <c r="B4213" s="1" t="s">
        <v>483</v>
      </c>
      <c r="D4213" s="1" t="s">
        <v>591</v>
      </c>
      <c r="E4213" s="1" t="s">
        <v>2726</v>
      </c>
      <c r="F4213" s="3">
        <v>0</v>
      </c>
      <c r="G4213" s="8" t="s">
        <v>2773</v>
      </c>
      <c r="H4213" s="8" t="s">
        <v>5159</v>
      </c>
      <c r="I4213" s="3">
        <v>29</v>
      </c>
      <c r="J4213" s="3" t="s">
        <v>6360</v>
      </c>
      <c r="K4213" s="17" t="str">
        <f>HYPERLINK("http://ictvonline.org/taxonomyHistory.asp?taxnode_id=20174629","ICTVonline=20174629")</f>
        <v>ICTVonline=20174629</v>
      </c>
      <c r="L4213" s="3">
        <v>4212</v>
      </c>
    </row>
    <row r="4214" spans="1:12" x14ac:dyDescent="0.15">
      <c r="A4214" s="1" t="s">
        <v>908</v>
      </c>
      <c r="B4214" s="1" t="s">
        <v>483</v>
      </c>
      <c r="D4214" s="1" t="s">
        <v>591</v>
      </c>
      <c r="E4214" s="1" t="s">
        <v>541</v>
      </c>
      <c r="F4214" s="3">
        <v>0</v>
      </c>
      <c r="G4214" s="8" t="s">
        <v>2773</v>
      </c>
      <c r="H4214" s="8" t="s">
        <v>5168</v>
      </c>
      <c r="I4214" s="3">
        <v>24</v>
      </c>
      <c r="J4214" s="3" t="s">
        <v>6367</v>
      </c>
      <c r="K4214" s="17" t="str">
        <f>HYPERLINK("http://ictvonline.org/taxonomyHistory.asp?taxnode_id=20174630","ICTVonline=20174630")</f>
        <v>ICTVonline=20174630</v>
      </c>
      <c r="L4214" s="3">
        <v>4213</v>
      </c>
    </row>
    <row r="4215" spans="1:12" x14ac:dyDescent="0.15">
      <c r="A4215" s="1" t="s">
        <v>908</v>
      </c>
      <c r="B4215" s="1" t="s">
        <v>483</v>
      </c>
      <c r="D4215" s="1" t="s">
        <v>591</v>
      </c>
      <c r="E4215" s="1" t="s">
        <v>542</v>
      </c>
      <c r="F4215" s="3">
        <v>0</v>
      </c>
      <c r="G4215" s="8" t="s">
        <v>2773</v>
      </c>
      <c r="H4215" s="8" t="s">
        <v>5161</v>
      </c>
      <c r="I4215" s="3">
        <v>13</v>
      </c>
      <c r="J4215" s="3" t="s">
        <v>6016</v>
      </c>
      <c r="K4215" s="17" t="str">
        <f>HYPERLINK("http://ictvonline.org/taxonomyHistory.asp?taxnode_id=20174631","ICTVonline=20174631")</f>
        <v>ICTVonline=20174631</v>
      </c>
      <c r="L4215" s="3">
        <v>4214</v>
      </c>
    </row>
    <row r="4216" spans="1:12" x14ac:dyDescent="0.15">
      <c r="A4216" s="1" t="s">
        <v>908</v>
      </c>
      <c r="B4216" s="1" t="s">
        <v>483</v>
      </c>
      <c r="D4216" s="1" t="s">
        <v>591</v>
      </c>
      <c r="E4216" s="1" t="s">
        <v>5059</v>
      </c>
      <c r="F4216" s="3">
        <v>0</v>
      </c>
      <c r="G4216" s="8" t="s">
        <v>2773</v>
      </c>
      <c r="H4216" s="8" t="s">
        <v>5159</v>
      </c>
      <c r="I4216" s="3">
        <v>31</v>
      </c>
      <c r="J4216" s="3" t="s">
        <v>6365</v>
      </c>
      <c r="K4216" s="17" t="str">
        <f>HYPERLINK("http://ictvonline.org/taxonomyHistory.asp?taxnode_id=20174632","ICTVonline=20174632")</f>
        <v>ICTVonline=20174632</v>
      </c>
      <c r="L4216" s="3">
        <v>4215</v>
      </c>
    </row>
    <row r="4217" spans="1:12" x14ac:dyDescent="0.15">
      <c r="A4217" s="1" t="s">
        <v>908</v>
      </c>
      <c r="B4217" s="1" t="s">
        <v>483</v>
      </c>
      <c r="D4217" s="1" t="s">
        <v>591</v>
      </c>
      <c r="E4217" s="1" t="s">
        <v>543</v>
      </c>
      <c r="F4217" s="3">
        <v>0</v>
      </c>
      <c r="G4217" s="8" t="s">
        <v>2773</v>
      </c>
      <c r="H4217" s="8" t="s">
        <v>5161</v>
      </c>
      <c r="I4217" s="3">
        <v>13</v>
      </c>
      <c r="J4217" s="3" t="s">
        <v>6016</v>
      </c>
      <c r="K4217" s="17" t="str">
        <f>HYPERLINK("http://ictvonline.org/taxonomyHistory.asp?taxnode_id=20174633","ICTVonline=20174633")</f>
        <v>ICTVonline=20174633</v>
      </c>
      <c r="L4217" s="3">
        <v>4216</v>
      </c>
    </row>
    <row r="4218" spans="1:12" x14ac:dyDescent="0.15">
      <c r="A4218" s="1" t="s">
        <v>908</v>
      </c>
      <c r="B4218" s="1" t="s">
        <v>483</v>
      </c>
      <c r="D4218" s="1" t="s">
        <v>591</v>
      </c>
      <c r="E4218" s="1" t="s">
        <v>544</v>
      </c>
      <c r="F4218" s="3">
        <v>0</v>
      </c>
      <c r="G4218" s="8" t="s">
        <v>2773</v>
      </c>
      <c r="H4218" s="8" t="s">
        <v>5159</v>
      </c>
      <c r="I4218" s="3">
        <v>18</v>
      </c>
      <c r="J4218" s="3" t="s">
        <v>5597</v>
      </c>
      <c r="K4218" s="17" t="str">
        <f>HYPERLINK("http://ictvonline.org/taxonomyHistory.asp?taxnode_id=20174634","ICTVonline=20174634")</f>
        <v>ICTVonline=20174634</v>
      </c>
      <c r="L4218" s="3">
        <v>4217</v>
      </c>
    </row>
    <row r="4219" spans="1:12" x14ac:dyDescent="0.15">
      <c r="A4219" s="1" t="s">
        <v>908</v>
      </c>
      <c r="B4219" s="1" t="s">
        <v>483</v>
      </c>
      <c r="D4219" s="1" t="s">
        <v>591</v>
      </c>
      <c r="E4219" s="1" t="s">
        <v>2727</v>
      </c>
      <c r="F4219" s="3">
        <v>0</v>
      </c>
      <c r="G4219" s="8" t="s">
        <v>2773</v>
      </c>
      <c r="H4219" s="8" t="s">
        <v>5159</v>
      </c>
      <c r="I4219" s="3">
        <v>29</v>
      </c>
      <c r="J4219" s="3" t="s">
        <v>6360</v>
      </c>
      <c r="K4219" s="17" t="str">
        <f>HYPERLINK("http://ictvonline.org/taxonomyHistory.asp?taxnode_id=20174635","ICTVonline=20174635")</f>
        <v>ICTVonline=20174635</v>
      </c>
      <c r="L4219" s="3">
        <v>4218</v>
      </c>
    </row>
    <row r="4220" spans="1:12" x14ac:dyDescent="0.15">
      <c r="A4220" s="1" t="s">
        <v>908</v>
      </c>
      <c r="B4220" s="1" t="s">
        <v>483</v>
      </c>
      <c r="D4220" s="1" t="s">
        <v>591</v>
      </c>
      <c r="E4220" s="1" t="s">
        <v>545</v>
      </c>
      <c r="F4220" s="3">
        <v>0</v>
      </c>
      <c r="G4220" s="8" t="s">
        <v>2773</v>
      </c>
      <c r="H4220" s="8" t="s">
        <v>5159</v>
      </c>
      <c r="I4220" s="3">
        <v>22</v>
      </c>
      <c r="J4220" s="3" t="s">
        <v>6345</v>
      </c>
      <c r="K4220" s="17" t="str">
        <f>HYPERLINK("http://ictvonline.org/taxonomyHistory.asp?taxnode_id=20174636","ICTVonline=20174636")</f>
        <v>ICTVonline=20174636</v>
      </c>
      <c r="L4220" s="3">
        <v>4219</v>
      </c>
    </row>
    <row r="4221" spans="1:12" x14ac:dyDescent="0.15">
      <c r="A4221" s="1" t="s">
        <v>908</v>
      </c>
      <c r="B4221" s="1" t="s">
        <v>483</v>
      </c>
      <c r="D4221" s="1" t="s">
        <v>591</v>
      </c>
      <c r="E4221" s="1" t="s">
        <v>890</v>
      </c>
      <c r="F4221" s="3">
        <v>0</v>
      </c>
      <c r="G4221" s="8" t="s">
        <v>2773</v>
      </c>
      <c r="H4221" s="8" t="s">
        <v>5161</v>
      </c>
      <c r="I4221" s="3">
        <v>13</v>
      </c>
      <c r="J4221" s="3" t="s">
        <v>6016</v>
      </c>
      <c r="K4221" s="17" t="str">
        <f>HYPERLINK("http://ictvonline.org/taxonomyHistory.asp?taxnode_id=20174637","ICTVonline=20174637")</f>
        <v>ICTVonline=20174637</v>
      </c>
      <c r="L4221" s="3">
        <v>4220</v>
      </c>
    </row>
    <row r="4222" spans="1:12" x14ac:dyDescent="0.15">
      <c r="A4222" s="1" t="s">
        <v>908</v>
      </c>
      <c r="B4222" s="1" t="s">
        <v>483</v>
      </c>
      <c r="D4222" s="1" t="s">
        <v>591</v>
      </c>
      <c r="E4222" s="1" t="s">
        <v>2158</v>
      </c>
      <c r="F4222" s="3">
        <v>0</v>
      </c>
      <c r="G4222" s="8" t="s">
        <v>2773</v>
      </c>
      <c r="H4222" s="8" t="s">
        <v>5159</v>
      </c>
      <c r="I4222" s="3">
        <v>25</v>
      </c>
      <c r="J4222" s="3" t="s">
        <v>6358</v>
      </c>
      <c r="K4222" s="17" t="str">
        <f>HYPERLINK("http://ictvonline.org/taxonomyHistory.asp?taxnode_id=20174638","ICTVonline=20174638")</f>
        <v>ICTVonline=20174638</v>
      </c>
      <c r="L4222" s="3">
        <v>4221</v>
      </c>
    </row>
    <row r="4223" spans="1:12" x14ac:dyDescent="0.15">
      <c r="A4223" s="1" t="s">
        <v>908</v>
      </c>
      <c r="B4223" s="1" t="s">
        <v>483</v>
      </c>
      <c r="D4223" s="1" t="s">
        <v>591</v>
      </c>
      <c r="E4223" s="1" t="s">
        <v>891</v>
      </c>
      <c r="F4223" s="3">
        <v>0</v>
      </c>
      <c r="G4223" s="8" t="s">
        <v>2773</v>
      </c>
      <c r="H4223" s="8" t="s">
        <v>5159</v>
      </c>
      <c r="I4223" s="3">
        <v>24</v>
      </c>
      <c r="J4223" s="3" t="s">
        <v>6357</v>
      </c>
      <c r="K4223" s="17" t="str">
        <f>HYPERLINK("http://ictvonline.org/taxonomyHistory.asp?taxnode_id=20174639","ICTVonline=20174639")</f>
        <v>ICTVonline=20174639</v>
      </c>
      <c r="L4223" s="3">
        <v>4222</v>
      </c>
    </row>
    <row r="4224" spans="1:12" x14ac:dyDescent="0.15">
      <c r="A4224" s="1" t="s">
        <v>908</v>
      </c>
      <c r="B4224" s="1" t="s">
        <v>483</v>
      </c>
      <c r="D4224" s="1" t="s">
        <v>591</v>
      </c>
      <c r="E4224" s="1" t="s">
        <v>892</v>
      </c>
      <c r="F4224" s="3">
        <v>0</v>
      </c>
      <c r="G4224" s="8" t="s">
        <v>2773</v>
      </c>
      <c r="H4224" s="8" t="s">
        <v>5159</v>
      </c>
      <c r="I4224" s="3">
        <v>18</v>
      </c>
      <c r="J4224" s="3" t="s">
        <v>5597</v>
      </c>
      <c r="K4224" s="17" t="str">
        <f>HYPERLINK("http://ictvonline.org/taxonomyHistory.asp?taxnode_id=20174640","ICTVonline=20174640")</f>
        <v>ICTVonline=20174640</v>
      </c>
      <c r="L4224" s="3">
        <v>4223</v>
      </c>
    </row>
    <row r="4225" spans="1:12" x14ac:dyDescent="0.15">
      <c r="A4225" s="1" t="s">
        <v>908</v>
      </c>
      <c r="B4225" s="1" t="s">
        <v>483</v>
      </c>
      <c r="D4225" s="1" t="s">
        <v>591</v>
      </c>
      <c r="E4225" s="1" t="s">
        <v>969</v>
      </c>
      <c r="F4225" s="3">
        <v>0</v>
      </c>
      <c r="G4225" s="8" t="s">
        <v>2773</v>
      </c>
      <c r="H4225" s="8" t="s">
        <v>5161</v>
      </c>
      <c r="I4225" s="3">
        <v>13</v>
      </c>
      <c r="J4225" s="3" t="s">
        <v>6016</v>
      </c>
      <c r="K4225" s="17" t="str">
        <f>HYPERLINK("http://ictvonline.org/taxonomyHistory.asp?taxnode_id=20174641","ICTVonline=20174641")</f>
        <v>ICTVonline=20174641</v>
      </c>
      <c r="L4225" s="3">
        <v>4224</v>
      </c>
    </row>
    <row r="4226" spans="1:12" x14ac:dyDescent="0.15">
      <c r="A4226" s="1" t="s">
        <v>908</v>
      </c>
      <c r="B4226" s="1" t="s">
        <v>483</v>
      </c>
      <c r="D4226" s="1" t="s">
        <v>591</v>
      </c>
      <c r="E4226" s="1" t="s">
        <v>970</v>
      </c>
      <c r="F4226" s="3">
        <v>0</v>
      </c>
      <c r="G4226" s="8" t="s">
        <v>2773</v>
      </c>
      <c r="H4226" s="8" t="s">
        <v>5159</v>
      </c>
      <c r="I4226" s="3">
        <v>17</v>
      </c>
      <c r="J4226" s="3" t="s">
        <v>5970</v>
      </c>
      <c r="K4226" s="17" t="str">
        <f>HYPERLINK("http://ictvonline.org/taxonomyHistory.asp?taxnode_id=20174642","ICTVonline=20174642")</f>
        <v>ICTVonline=20174642</v>
      </c>
      <c r="L4226" s="3">
        <v>4225</v>
      </c>
    </row>
    <row r="4227" spans="1:12" x14ac:dyDescent="0.15">
      <c r="A4227" s="1" t="s">
        <v>908</v>
      </c>
      <c r="B4227" s="1" t="s">
        <v>483</v>
      </c>
      <c r="D4227" s="1" t="s">
        <v>591</v>
      </c>
      <c r="E4227" s="1" t="s">
        <v>971</v>
      </c>
      <c r="F4227" s="3">
        <v>0</v>
      </c>
      <c r="G4227" s="8" t="s">
        <v>2773</v>
      </c>
      <c r="H4227" s="8" t="s">
        <v>5161</v>
      </c>
      <c r="I4227" s="3">
        <v>13</v>
      </c>
      <c r="J4227" s="3" t="s">
        <v>6016</v>
      </c>
      <c r="K4227" s="17" t="str">
        <f>HYPERLINK("http://ictvonline.org/taxonomyHistory.asp?taxnode_id=20174643","ICTVonline=20174643")</f>
        <v>ICTVonline=20174643</v>
      </c>
      <c r="L4227" s="3">
        <v>4226</v>
      </c>
    </row>
    <row r="4228" spans="1:12" x14ac:dyDescent="0.15">
      <c r="A4228" s="1" t="s">
        <v>908</v>
      </c>
      <c r="B4228" s="1" t="s">
        <v>483</v>
      </c>
      <c r="D4228" s="1" t="s">
        <v>591</v>
      </c>
      <c r="E4228" s="1" t="s">
        <v>972</v>
      </c>
      <c r="F4228" s="3">
        <v>0</v>
      </c>
      <c r="G4228" s="8" t="s">
        <v>2773</v>
      </c>
      <c r="H4228" s="8" t="s">
        <v>5159</v>
      </c>
      <c r="I4228" s="3">
        <v>17</v>
      </c>
      <c r="J4228" s="3" t="s">
        <v>5970</v>
      </c>
      <c r="K4228" s="17" t="str">
        <f>HYPERLINK("http://ictvonline.org/taxonomyHistory.asp?taxnode_id=20174644","ICTVonline=20174644")</f>
        <v>ICTVonline=20174644</v>
      </c>
      <c r="L4228" s="3">
        <v>4227</v>
      </c>
    </row>
    <row r="4229" spans="1:12" x14ac:dyDescent="0.15">
      <c r="A4229" s="1" t="s">
        <v>908</v>
      </c>
      <c r="B4229" s="1" t="s">
        <v>483</v>
      </c>
      <c r="D4229" s="1" t="s">
        <v>591</v>
      </c>
      <c r="E4229" s="1" t="s">
        <v>896</v>
      </c>
      <c r="F4229" s="3">
        <v>0</v>
      </c>
      <c r="G4229" s="8" t="s">
        <v>2773</v>
      </c>
      <c r="H4229" s="8" t="s">
        <v>5161</v>
      </c>
      <c r="I4229" s="3">
        <v>13</v>
      </c>
      <c r="J4229" s="3" t="s">
        <v>6016</v>
      </c>
      <c r="K4229" s="17" t="str">
        <f>HYPERLINK("http://ictvonline.org/taxonomyHistory.asp?taxnode_id=20174645","ICTVonline=20174645")</f>
        <v>ICTVonline=20174645</v>
      </c>
      <c r="L4229" s="3">
        <v>4228</v>
      </c>
    </row>
    <row r="4230" spans="1:12" x14ac:dyDescent="0.15">
      <c r="A4230" s="1" t="s">
        <v>908</v>
      </c>
      <c r="B4230" s="1" t="s">
        <v>483</v>
      </c>
      <c r="D4230" s="1" t="s">
        <v>591</v>
      </c>
      <c r="E4230" s="1" t="s">
        <v>897</v>
      </c>
      <c r="F4230" s="3">
        <v>0</v>
      </c>
      <c r="G4230" s="8" t="s">
        <v>2773</v>
      </c>
      <c r="H4230" s="8" t="s">
        <v>5161</v>
      </c>
      <c r="I4230" s="3">
        <v>13</v>
      </c>
      <c r="J4230" s="3" t="s">
        <v>6016</v>
      </c>
      <c r="K4230" s="17" t="str">
        <f>HYPERLINK("http://ictvonline.org/taxonomyHistory.asp?taxnode_id=20174646","ICTVonline=20174646")</f>
        <v>ICTVonline=20174646</v>
      </c>
      <c r="L4230" s="3">
        <v>4229</v>
      </c>
    </row>
    <row r="4231" spans="1:12" x14ac:dyDescent="0.15">
      <c r="A4231" s="1" t="s">
        <v>908</v>
      </c>
      <c r="B4231" s="1" t="s">
        <v>483</v>
      </c>
      <c r="D4231" s="1" t="s">
        <v>591</v>
      </c>
      <c r="E4231" s="1" t="s">
        <v>898</v>
      </c>
      <c r="F4231" s="3">
        <v>0</v>
      </c>
      <c r="G4231" s="8" t="s">
        <v>2773</v>
      </c>
      <c r="H4231" s="8" t="s">
        <v>5161</v>
      </c>
      <c r="I4231" s="3">
        <v>13</v>
      </c>
      <c r="J4231" s="3" t="s">
        <v>6016</v>
      </c>
      <c r="K4231" s="17" t="str">
        <f>HYPERLINK("http://ictvonline.org/taxonomyHistory.asp?taxnode_id=20174647","ICTVonline=20174647")</f>
        <v>ICTVonline=20174647</v>
      </c>
      <c r="L4231" s="3">
        <v>4230</v>
      </c>
    </row>
    <row r="4232" spans="1:12" x14ac:dyDescent="0.15">
      <c r="A4232" s="1" t="s">
        <v>908</v>
      </c>
      <c r="B4232" s="1" t="s">
        <v>483</v>
      </c>
      <c r="D4232" s="1" t="s">
        <v>591</v>
      </c>
      <c r="E4232" s="1" t="s">
        <v>975</v>
      </c>
      <c r="F4232" s="3">
        <v>0</v>
      </c>
      <c r="G4232" s="8" t="s">
        <v>2773</v>
      </c>
      <c r="H4232" s="8" t="s">
        <v>5159</v>
      </c>
      <c r="I4232" s="3">
        <v>22</v>
      </c>
      <c r="J4232" s="3" t="s">
        <v>6345</v>
      </c>
      <c r="K4232" s="17" t="str">
        <f>HYPERLINK("http://ictvonline.org/taxonomyHistory.asp?taxnode_id=20174648","ICTVonline=20174648")</f>
        <v>ICTVonline=20174648</v>
      </c>
      <c r="L4232" s="3">
        <v>4231</v>
      </c>
    </row>
    <row r="4233" spans="1:12" x14ac:dyDescent="0.15">
      <c r="A4233" s="1" t="s">
        <v>908</v>
      </c>
      <c r="B4233" s="1" t="s">
        <v>483</v>
      </c>
      <c r="D4233" s="1" t="s">
        <v>591</v>
      </c>
      <c r="E4233" s="1" t="s">
        <v>976</v>
      </c>
      <c r="F4233" s="3">
        <v>0</v>
      </c>
      <c r="G4233" s="8" t="s">
        <v>2773</v>
      </c>
      <c r="H4233" s="8" t="s">
        <v>5159</v>
      </c>
      <c r="I4233" s="3">
        <v>22</v>
      </c>
      <c r="J4233" s="3" t="s">
        <v>6345</v>
      </c>
      <c r="K4233" s="17" t="str">
        <f>HYPERLINK("http://ictvonline.org/taxonomyHistory.asp?taxnode_id=20174649","ICTVonline=20174649")</f>
        <v>ICTVonline=20174649</v>
      </c>
      <c r="L4233" s="3">
        <v>4232</v>
      </c>
    </row>
    <row r="4234" spans="1:12" x14ac:dyDescent="0.15">
      <c r="A4234" s="1" t="s">
        <v>908</v>
      </c>
      <c r="B4234" s="1" t="s">
        <v>483</v>
      </c>
      <c r="D4234" s="1" t="s">
        <v>591</v>
      </c>
      <c r="E4234" s="1" t="s">
        <v>2728</v>
      </c>
      <c r="F4234" s="3">
        <v>0</v>
      </c>
      <c r="G4234" s="8" t="s">
        <v>2773</v>
      </c>
      <c r="H4234" s="8" t="s">
        <v>5159</v>
      </c>
      <c r="I4234" s="3">
        <v>29</v>
      </c>
      <c r="J4234" s="3" t="s">
        <v>6360</v>
      </c>
      <c r="K4234" s="17" t="str">
        <f>HYPERLINK("http://ictvonline.org/taxonomyHistory.asp?taxnode_id=20174650","ICTVonline=20174650")</f>
        <v>ICTVonline=20174650</v>
      </c>
      <c r="L4234" s="3">
        <v>4233</v>
      </c>
    </row>
    <row r="4235" spans="1:12" x14ac:dyDescent="0.15">
      <c r="A4235" s="1" t="s">
        <v>908</v>
      </c>
      <c r="B4235" s="1" t="s">
        <v>483</v>
      </c>
      <c r="D4235" s="1" t="s">
        <v>591</v>
      </c>
      <c r="E4235" s="1" t="s">
        <v>977</v>
      </c>
      <c r="F4235" s="3">
        <v>0</v>
      </c>
      <c r="G4235" s="8" t="s">
        <v>2773</v>
      </c>
      <c r="H4235" s="8" t="s">
        <v>5159</v>
      </c>
      <c r="I4235" s="3">
        <v>22</v>
      </c>
      <c r="J4235" s="3" t="s">
        <v>6345</v>
      </c>
      <c r="K4235" s="17" t="str">
        <f>HYPERLINK("http://ictvonline.org/taxonomyHistory.asp?taxnode_id=20174651","ICTVonline=20174651")</f>
        <v>ICTVonline=20174651</v>
      </c>
      <c r="L4235" s="3">
        <v>4234</v>
      </c>
    </row>
    <row r="4236" spans="1:12" x14ac:dyDescent="0.15">
      <c r="A4236" s="1" t="s">
        <v>908</v>
      </c>
      <c r="B4236" s="1" t="s">
        <v>483</v>
      </c>
      <c r="D4236" s="1" t="s">
        <v>591</v>
      </c>
      <c r="E4236" s="1" t="s">
        <v>978</v>
      </c>
      <c r="F4236" s="3">
        <v>0</v>
      </c>
      <c r="G4236" s="8" t="s">
        <v>2773</v>
      </c>
      <c r="H4236" s="8" t="s">
        <v>5161</v>
      </c>
      <c r="I4236" s="3">
        <v>13</v>
      </c>
      <c r="J4236" s="3" t="s">
        <v>6016</v>
      </c>
      <c r="K4236" s="17" t="str">
        <f>HYPERLINK("http://ictvonline.org/taxonomyHistory.asp?taxnode_id=20174652","ICTVonline=20174652")</f>
        <v>ICTVonline=20174652</v>
      </c>
      <c r="L4236" s="3">
        <v>4235</v>
      </c>
    </row>
    <row r="4237" spans="1:12" x14ac:dyDescent="0.15">
      <c r="A4237" s="1" t="s">
        <v>908</v>
      </c>
      <c r="B4237" s="1" t="s">
        <v>483</v>
      </c>
      <c r="D4237" s="1" t="s">
        <v>591</v>
      </c>
      <c r="E4237" s="1" t="s">
        <v>979</v>
      </c>
      <c r="F4237" s="3">
        <v>0</v>
      </c>
      <c r="G4237" s="8" t="s">
        <v>2773</v>
      </c>
      <c r="H4237" s="8" t="s">
        <v>5161</v>
      </c>
      <c r="I4237" s="3">
        <v>13</v>
      </c>
      <c r="J4237" s="3" t="s">
        <v>6016</v>
      </c>
      <c r="K4237" s="17" t="str">
        <f>HYPERLINK("http://ictvonline.org/taxonomyHistory.asp?taxnode_id=20174653","ICTVonline=20174653")</f>
        <v>ICTVonline=20174653</v>
      </c>
      <c r="L4237" s="3">
        <v>4236</v>
      </c>
    </row>
    <row r="4238" spans="1:12" x14ac:dyDescent="0.15">
      <c r="A4238" s="1" t="s">
        <v>908</v>
      </c>
      <c r="B4238" s="1" t="s">
        <v>483</v>
      </c>
      <c r="D4238" s="1" t="s">
        <v>591</v>
      </c>
      <c r="E4238" s="1" t="s">
        <v>980</v>
      </c>
      <c r="F4238" s="3">
        <v>0</v>
      </c>
      <c r="G4238" s="8" t="s">
        <v>2773</v>
      </c>
      <c r="H4238" s="8" t="s">
        <v>5159</v>
      </c>
      <c r="I4238" s="3">
        <v>24</v>
      </c>
      <c r="J4238" s="3" t="s">
        <v>6357</v>
      </c>
      <c r="K4238" s="17" t="str">
        <f>HYPERLINK("http://ictvonline.org/taxonomyHistory.asp?taxnode_id=20174654","ICTVonline=20174654")</f>
        <v>ICTVonline=20174654</v>
      </c>
      <c r="L4238" s="3">
        <v>4237</v>
      </c>
    </row>
    <row r="4239" spans="1:12" x14ac:dyDescent="0.15">
      <c r="A4239" s="1" t="s">
        <v>908</v>
      </c>
      <c r="B4239" s="1" t="s">
        <v>483</v>
      </c>
      <c r="D4239" s="1" t="s">
        <v>591</v>
      </c>
      <c r="E4239" s="1" t="s">
        <v>981</v>
      </c>
      <c r="F4239" s="3">
        <v>0</v>
      </c>
      <c r="G4239" s="8" t="s">
        <v>2773</v>
      </c>
      <c r="H4239" s="8" t="s">
        <v>5162</v>
      </c>
      <c r="I4239" s="3">
        <v>18</v>
      </c>
      <c r="J4239" s="3" t="s">
        <v>5597</v>
      </c>
      <c r="K4239" s="17" t="str">
        <f>HYPERLINK("http://ictvonline.org/taxonomyHistory.asp?taxnode_id=20174655","ICTVonline=20174655")</f>
        <v>ICTVonline=20174655</v>
      </c>
      <c r="L4239" s="3">
        <v>4238</v>
      </c>
    </row>
    <row r="4240" spans="1:12" x14ac:dyDescent="0.15">
      <c r="A4240" s="1" t="s">
        <v>908</v>
      </c>
      <c r="B4240" s="1" t="s">
        <v>483</v>
      </c>
      <c r="D4240" s="1" t="s">
        <v>591</v>
      </c>
      <c r="E4240" s="1" t="s">
        <v>982</v>
      </c>
      <c r="F4240" s="3">
        <v>0</v>
      </c>
      <c r="G4240" s="8" t="s">
        <v>2773</v>
      </c>
      <c r="H4240" s="8" t="s">
        <v>5161</v>
      </c>
      <c r="I4240" s="3">
        <v>13</v>
      </c>
      <c r="J4240" s="3" t="s">
        <v>6016</v>
      </c>
      <c r="K4240" s="17" t="str">
        <f>HYPERLINK("http://ictvonline.org/taxonomyHistory.asp?taxnode_id=20174656","ICTVonline=20174656")</f>
        <v>ICTVonline=20174656</v>
      </c>
      <c r="L4240" s="3">
        <v>4239</v>
      </c>
    </row>
    <row r="4241" spans="1:12" x14ac:dyDescent="0.15">
      <c r="A4241" s="1" t="s">
        <v>908</v>
      </c>
      <c r="B4241" s="1" t="s">
        <v>483</v>
      </c>
      <c r="D4241" s="1" t="s">
        <v>591</v>
      </c>
      <c r="E4241" s="1" t="s">
        <v>983</v>
      </c>
      <c r="F4241" s="3">
        <v>0</v>
      </c>
      <c r="G4241" s="8" t="s">
        <v>2773</v>
      </c>
      <c r="H4241" s="8" t="s">
        <v>5161</v>
      </c>
      <c r="I4241" s="3">
        <v>13</v>
      </c>
      <c r="J4241" s="3" t="s">
        <v>6016</v>
      </c>
      <c r="K4241" s="17" t="str">
        <f>HYPERLINK("http://ictvonline.org/taxonomyHistory.asp?taxnode_id=20174657","ICTVonline=20174657")</f>
        <v>ICTVonline=20174657</v>
      </c>
      <c r="L4241" s="3">
        <v>4240</v>
      </c>
    </row>
    <row r="4242" spans="1:12" x14ac:dyDescent="0.15">
      <c r="A4242" s="1" t="s">
        <v>908</v>
      </c>
      <c r="B4242" s="1" t="s">
        <v>483</v>
      </c>
      <c r="D4242" s="1" t="s">
        <v>591</v>
      </c>
      <c r="E4242" s="1" t="s">
        <v>6368</v>
      </c>
      <c r="F4242" s="3">
        <v>0</v>
      </c>
      <c r="G4242" s="8" t="s">
        <v>2773</v>
      </c>
      <c r="H4242" s="8" t="s">
        <v>5159</v>
      </c>
      <c r="I4242" s="3">
        <v>32</v>
      </c>
      <c r="J4242" s="3" t="s">
        <v>6347</v>
      </c>
      <c r="K4242" s="17" t="str">
        <f>HYPERLINK("http://ictvonline.org/taxonomyHistory.asp?taxnode_id=20175922","ICTVonline=20175922")</f>
        <v>ICTVonline=20175922</v>
      </c>
      <c r="L4242" s="3">
        <v>4241</v>
      </c>
    </row>
    <row r="4243" spans="1:12" x14ac:dyDescent="0.15">
      <c r="A4243" s="1" t="s">
        <v>908</v>
      </c>
      <c r="B4243" s="1" t="s">
        <v>483</v>
      </c>
      <c r="D4243" s="1" t="s">
        <v>591</v>
      </c>
      <c r="E4243" s="1" t="s">
        <v>643</v>
      </c>
      <c r="F4243" s="3">
        <v>0</v>
      </c>
      <c r="G4243" s="8" t="s">
        <v>2773</v>
      </c>
      <c r="H4243" s="8" t="s">
        <v>5159</v>
      </c>
      <c r="I4243" s="3">
        <v>24</v>
      </c>
      <c r="J4243" s="3" t="s">
        <v>6357</v>
      </c>
      <c r="K4243" s="17" t="str">
        <f>HYPERLINK("http://ictvonline.org/taxonomyHistory.asp?taxnode_id=20174658","ICTVonline=20174658")</f>
        <v>ICTVonline=20174658</v>
      </c>
      <c r="L4243" s="3">
        <v>4242</v>
      </c>
    </row>
    <row r="4244" spans="1:12" x14ac:dyDescent="0.15">
      <c r="A4244" s="1" t="s">
        <v>908</v>
      </c>
      <c r="B4244" s="1" t="s">
        <v>483</v>
      </c>
      <c r="D4244" s="1" t="s">
        <v>591</v>
      </c>
      <c r="E4244" s="1" t="s">
        <v>644</v>
      </c>
      <c r="F4244" s="3">
        <v>0</v>
      </c>
      <c r="G4244" s="8" t="s">
        <v>2773</v>
      </c>
      <c r="H4244" s="8" t="s">
        <v>5161</v>
      </c>
      <c r="I4244" s="3">
        <v>13</v>
      </c>
      <c r="J4244" s="3" t="s">
        <v>6016</v>
      </c>
      <c r="K4244" s="17" t="str">
        <f>HYPERLINK("http://ictvonline.org/taxonomyHistory.asp?taxnode_id=20174659","ICTVonline=20174659")</f>
        <v>ICTVonline=20174659</v>
      </c>
      <c r="L4244" s="3">
        <v>4243</v>
      </c>
    </row>
    <row r="4245" spans="1:12" x14ac:dyDescent="0.15">
      <c r="A4245" s="1" t="s">
        <v>908</v>
      </c>
      <c r="B4245" s="1" t="s">
        <v>483</v>
      </c>
      <c r="D4245" s="1" t="s">
        <v>591</v>
      </c>
      <c r="E4245" s="1" t="s">
        <v>645</v>
      </c>
      <c r="F4245" s="3">
        <v>0</v>
      </c>
      <c r="G4245" s="8" t="s">
        <v>2773</v>
      </c>
      <c r="H4245" s="8" t="s">
        <v>5161</v>
      </c>
      <c r="I4245" s="3">
        <v>13</v>
      </c>
      <c r="J4245" s="3" t="s">
        <v>6016</v>
      </c>
      <c r="K4245" s="17" t="str">
        <f>HYPERLINK("http://ictvonline.org/taxonomyHistory.asp?taxnode_id=20174660","ICTVonline=20174660")</f>
        <v>ICTVonline=20174660</v>
      </c>
      <c r="L4245" s="3">
        <v>4244</v>
      </c>
    </row>
    <row r="4246" spans="1:12" x14ac:dyDescent="0.15">
      <c r="A4246" s="1" t="s">
        <v>908</v>
      </c>
      <c r="B4246" s="1" t="s">
        <v>483</v>
      </c>
      <c r="D4246" s="1" t="s">
        <v>591</v>
      </c>
      <c r="E4246" s="1" t="s">
        <v>646</v>
      </c>
      <c r="F4246" s="3">
        <v>0</v>
      </c>
      <c r="G4246" s="8" t="s">
        <v>2773</v>
      </c>
      <c r="H4246" s="8" t="s">
        <v>5161</v>
      </c>
      <c r="I4246" s="3">
        <v>13</v>
      </c>
      <c r="J4246" s="3" t="s">
        <v>6016</v>
      </c>
      <c r="K4246" s="17" t="str">
        <f>HYPERLINK("http://ictvonline.org/taxonomyHistory.asp?taxnode_id=20174661","ICTVonline=20174661")</f>
        <v>ICTVonline=20174661</v>
      </c>
      <c r="L4246" s="3">
        <v>4245</v>
      </c>
    </row>
    <row r="4247" spans="1:12" x14ac:dyDescent="0.15">
      <c r="A4247" s="1" t="s">
        <v>908</v>
      </c>
      <c r="B4247" s="1" t="s">
        <v>483</v>
      </c>
      <c r="D4247" s="1" t="s">
        <v>591</v>
      </c>
      <c r="E4247" s="1" t="s">
        <v>647</v>
      </c>
      <c r="F4247" s="3">
        <v>0</v>
      </c>
      <c r="G4247" s="8" t="s">
        <v>2773</v>
      </c>
      <c r="H4247" s="8" t="s">
        <v>5159</v>
      </c>
      <c r="I4247" s="3">
        <v>22</v>
      </c>
      <c r="J4247" s="3" t="s">
        <v>6345</v>
      </c>
      <c r="K4247" s="17" t="str">
        <f>HYPERLINK("http://ictvonline.org/taxonomyHistory.asp?taxnode_id=20174662","ICTVonline=20174662")</f>
        <v>ICTVonline=20174662</v>
      </c>
      <c r="L4247" s="3">
        <v>4246</v>
      </c>
    </row>
    <row r="4248" spans="1:12" x14ac:dyDescent="0.15">
      <c r="A4248" s="1" t="s">
        <v>908</v>
      </c>
      <c r="B4248" s="1" t="s">
        <v>483</v>
      </c>
      <c r="D4248" s="1" t="s">
        <v>591</v>
      </c>
      <c r="E4248" s="1" t="s">
        <v>648</v>
      </c>
      <c r="F4248" s="3">
        <v>0</v>
      </c>
      <c r="G4248" s="8" t="s">
        <v>2773</v>
      </c>
      <c r="H4248" s="8" t="s">
        <v>5162</v>
      </c>
      <c r="I4248" s="3">
        <v>14</v>
      </c>
      <c r="J4248" s="3" t="s">
        <v>6027</v>
      </c>
      <c r="K4248" s="17" t="str">
        <f>HYPERLINK("http://ictvonline.org/taxonomyHistory.asp?taxnode_id=20174663","ICTVonline=20174663")</f>
        <v>ICTVonline=20174663</v>
      </c>
      <c r="L4248" s="3">
        <v>4247</v>
      </c>
    </row>
    <row r="4249" spans="1:12" x14ac:dyDescent="0.15">
      <c r="A4249" s="1" t="s">
        <v>908</v>
      </c>
      <c r="B4249" s="1" t="s">
        <v>483</v>
      </c>
      <c r="D4249" s="1" t="s">
        <v>591</v>
      </c>
      <c r="E4249" s="1" t="s">
        <v>649</v>
      </c>
      <c r="F4249" s="3">
        <v>0</v>
      </c>
      <c r="G4249" s="8" t="s">
        <v>2773</v>
      </c>
      <c r="H4249" s="8" t="s">
        <v>5159</v>
      </c>
      <c r="I4249" s="3">
        <v>24</v>
      </c>
      <c r="J4249" s="3" t="s">
        <v>6357</v>
      </c>
      <c r="K4249" s="17" t="str">
        <f>HYPERLINK("http://ictvonline.org/taxonomyHistory.asp?taxnode_id=20174664","ICTVonline=20174664")</f>
        <v>ICTVonline=20174664</v>
      </c>
      <c r="L4249" s="3">
        <v>4248</v>
      </c>
    </row>
    <row r="4250" spans="1:12" x14ac:dyDescent="0.15">
      <c r="A4250" s="1" t="s">
        <v>908</v>
      </c>
      <c r="B4250" s="1" t="s">
        <v>483</v>
      </c>
      <c r="D4250" s="1" t="s">
        <v>591</v>
      </c>
      <c r="E4250" s="1" t="s">
        <v>650</v>
      </c>
      <c r="F4250" s="3">
        <v>0</v>
      </c>
      <c r="G4250" s="8" t="s">
        <v>2773</v>
      </c>
      <c r="H4250" s="8" t="s">
        <v>5159</v>
      </c>
      <c r="I4250" s="3">
        <v>22</v>
      </c>
      <c r="J4250" s="3" t="s">
        <v>6345</v>
      </c>
      <c r="K4250" s="17" t="str">
        <f>HYPERLINK("http://ictvonline.org/taxonomyHistory.asp?taxnode_id=20174665","ICTVonline=20174665")</f>
        <v>ICTVonline=20174665</v>
      </c>
      <c r="L4250" s="3">
        <v>4249</v>
      </c>
    </row>
    <row r="4251" spans="1:12" x14ac:dyDescent="0.15">
      <c r="A4251" s="1" t="s">
        <v>908</v>
      </c>
      <c r="B4251" s="1" t="s">
        <v>483</v>
      </c>
      <c r="D4251" s="1" t="s">
        <v>591</v>
      </c>
      <c r="E4251" s="1" t="s">
        <v>462</v>
      </c>
      <c r="F4251" s="3">
        <v>0</v>
      </c>
      <c r="G4251" s="8" t="s">
        <v>2773</v>
      </c>
      <c r="H4251" s="8" t="s">
        <v>5161</v>
      </c>
      <c r="I4251" s="3">
        <v>13</v>
      </c>
      <c r="J4251" s="3" t="s">
        <v>6016</v>
      </c>
      <c r="K4251" s="17" t="str">
        <f>HYPERLINK("http://ictvonline.org/taxonomyHistory.asp?taxnode_id=20174666","ICTVonline=20174666")</f>
        <v>ICTVonline=20174666</v>
      </c>
      <c r="L4251" s="3">
        <v>4250</v>
      </c>
    </row>
    <row r="4252" spans="1:12" x14ac:dyDescent="0.15">
      <c r="A4252" s="1" t="s">
        <v>908</v>
      </c>
      <c r="B4252" s="1" t="s">
        <v>483</v>
      </c>
      <c r="D4252" s="1" t="s">
        <v>591</v>
      </c>
      <c r="E4252" s="1" t="s">
        <v>1599</v>
      </c>
      <c r="F4252" s="3">
        <v>0</v>
      </c>
      <c r="G4252" s="8" t="s">
        <v>2773</v>
      </c>
      <c r="H4252" s="8" t="s">
        <v>5161</v>
      </c>
      <c r="I4252" s="3">
        <v>13</v>
      </c>
      <c r="J4252" s="3" t="s">
        <v>6016</v>
      </c>
      <c r="K4252" s="17" t="str">
        <f>HYPERLINK("http://ictvonline.org/taxonomyHistory.asp?taxnode_id=20174667","ICTVonline=20174667")</f>
        <v>ICTVonline=20174667</v>
      </c>
      <c r="L4252" s="3">
        <v>4251</v>
      </c>
    </row>
    <row r="4253" spans="1:12" x14ac:dyDescent="0.15">
      <c r="A4253" s="1" t="s">
        <v>908</v>
      </c>
      <c r="B4253" s="1" t="s">
        <v>483</v>
      </c>
      <c r="D4253" s="1" t="s">
        <v>591</v>
      </c>
      <c r="E4253" s="1" t="s">
        <v>1600</v>
      </c>
      <c r="F4253" s="3">
        <v>0</v>
      </c>
      <c r="G4253" s="8" t="s">
        <v>2773</v>
      </c>
      <c r="H4253" s="8" t="s">
        <v>5168</v>
      </c>
      <c r="I4253" s="3">
        <v>23</v>
      </c>
      <c r="J4253" s="3" t="s">
        <v>6020</v>
      </c>
      <c r="K4253" s="17" t="str">
        <f>HYPERLINK("http://ictvonline.org/taxonomyHistory.asp?taxnode_id=20174668","ICTVonline=20174668")</f>
        <v>ICTVonline=20174668</v>
      </c>
      <c r="L4253" s="3">
        <v>4252</v>
      </c>
    </row>
    <row r="4254" spans="1:12" x14ac:dyDescent="0.15">
      <c r="A4254" s="1" t="s">
        <v>908</v>
      </c>
      <c r="B4254" s="1" t="s">
        <v>483</v>
      </c>
      <c r="D4254" s="1" t="s">
        <v>591</v>
      </c>
      <c r="E4254" s="1" t="s">
        <v>514</v>
      </c>
      <c r="F4254" s="3">
        <v>0</v>
      </c>
      <c r="G4254" s="8" t="s">
        <v>2773</v>
      </c>
      <c r="H4254" s="8" t="s">
        <v>5161</v>
      </c>
      <c r="I4254" s="3">
        <v>13</v>
      </c>
      <c r="J4254" s="3" t="s">
        <v>6016</v>
      </c>
      <c r="K4254" s="17" t="str">
        <f>HYPERLINK("http://ictvonline.org/taxonomyHistory.asp?taxnode_id=20174669","ICTVonline=20174669")</f>
        <v>ICTVonline=20174669</v>
      </c>
      <c r="L4254" s="3">
        <v>4253</v>
      </c>
    </row>
    <row r="4255" spans="1:12" x14ac:dyDescent="0.15">
      <c r="A4255" s="1" t="s">
        <v>908</v>
      </c>
      <c r="B4255" s="1" t="s">
        <v>483</v>
      </c>
      <c r="D4255" s="1" t="s">
        <v>591</v>
      </c>
      <c r="E4255" s="1" t="s">
        <v>515</v>
      </c>
      <c r="F4255" s="3">
        <v>1</v>
      </c>
      <c r="G4255" s="8" t="s">
        <v>2773</v>
      </c>
      <c r="H4255" s="8" t="s">
        <v>5161</v>
      </c>
      <c r="I4255" s="3">
        <v>13</v>
      </c>
      <c r="J4255" s="3" t="s">
        <v>6016</v>
      </c>
      <c r="K4255" s="17" t="str">
        <f>HYPERLINK("http://ictvonline.org/taxonomyHistory.asp?taxnode_id=20174670","ICTVonline=20174670")</f>
        <v>ICTVonline=20174670</v>
      </c>
      <c r="L4255" s="3">
        <v>4254</v>
      </c>
    </row>
    <row r="4256" spans="1:12" x14ac:dyDescent="0.15">
      <c r="A4256" s="1" t="s">
        <v>908</v>
      </c>
      <c r="B4256" s="1" t="s">
        <v>483</v>
      </c>
      <c r="D4256" s="1" t="s">
        <v>591</v>
      </c>
      <c r="E4256" s="1" t="s">
        <v>516</v>
      </c>
      <c r="F4256" s="3">
        <v>0</v>
      </c>
      <c r="G4256" s="8" t="s">
        <v>2773</v>
      </c>
      <c r="H4256" s="8" t="s">
        <v>5159</v>
      </c>
      <c r="I4256" s="3">
        <v>24</v>
      </c>
      <c r="J4256" s="3" t="s">
        <v>6357</v>
      </c>
      <c r="K4256" s="17" t="str">
        <f>HYPERLINK("http://ictvonline.org/taxonomyHistory.asp?taxnode_id=20174671","ICTVonline=20174671")</f>
        <v>ICTVonline=20174671</v>
      </c>
      <c r="L4256" s="3">
        <v>4255</v>
      </c>
    </row>
    <row r="4257" spans="1:12" x14ac:dyDescent="0.15">
      <c r="A4257" s="1" t="s">
        <v>908</v>
      </c>
      <c r="B4257" s="1" t="s">
        <v>483</v>
      </c>
      <c r="D4257" s="1" t="s">
        <v>591</v>
      </c>
      <c r="E4257" s="1" t="s">
        <v>1477</v>
      </c>
      <c r="F4257" s="3">
        <v>0</v>
      </c>
      <c r="G4257" s="8" t="s">
        <v>2773</v>
      </c>
      <c r="H4257" s="8" t="s">
        <v>5159</v>
      </c>
      <c r="I4257" s="3">
        <v>24</v>
      </c>
      <c r="J4257" s="3" t="s">
        <v>6357</v>
      </c>
      <c r="K4257" s="17" t="str">
        <f>HYPERLINK("http://ictvonline.org/taxonomyHistory.asp?taxnode_id=20174672","ICTVonline=20174672")</f>
        <v>ICTVonline=20174672</v>
      </c>
      <c r="L4257" s="3">
        <v>4256</v>
      </c>
    </row>
    <row r="4258" spans="1:12" x14ac:dyDescent="0.15">
      <c r="A4258" s="1" t="s">
        <v>908</v>
      </c>
      <c r="B4258" s="1" t="s">
        <v>483</v>
      </c>
      <c r="D4258" s="1" t="s">
        <v>591</v>
      </c>
      <c r="E4258" s="1" t="s">
        <v>1478</v>
      </c>
      <c r="F4258" s="3">
        <v>0</v>
      </c>
      <c r="G4258" s="8" t="s">
        <v>2773</v>
      </c>
      <c r="H4258" s="8" t="s">
        <v>5159</v>
      </c>
      <c r="I4258" s="3">
        <v>24</v>
      </c>
      <c r="J4258" s="3" t="s">
        <v>6357</v>
      </c>
      <c r="K4258" s="17" t="str">
        <f>HYPERLINK("http://ictvonline.org/taxonomyHistory.asp?taxnode_id=20174673","ICTVonline=20174673")</f>
        <v>ICTVonline=20174673</v>
      </c>
      <c r="L4258" s="3">
        <v>4257</v>
      </c>
    </row>
    <row r="4259" spans="1:12" x14ac:dyDescent="0.15">
      <c r="A4259" s="1" t="s">
        <v>908</v>
      </c>
      <c r="B4259" s="1" t="s">
        <v>483</v>
      </c>
      <c r="D4259" s="1" t="s">
        <v>591</v>
      </c>
      <c r="E4259" s="1" t="s">
        <v>385</v>
      </c>
      <c r="F4259" s="3">
        <v>0</v>
      </c>
      <c r="G4259" s="8" t="s">
        <v>2773</v>
      </c>
      <c r="H4259" s="8" t="s">
        <v>5159</v>
      </c>
      <c r="I4259" s="3">
        <v>22</v>
      </c>
      <c r="J4259" s="3" t="s">
        <v>6345</v>
      </c>
      <c r="K4259" s="17" t="str">
        <f>HYPERLINK("http://ictvonline.org/taxonomyHistory.asp?taxnode_id=20174674","ICTVonline=20174674")</f>
        <v>ICTVonline=20174674</v>
      </c>
      <c r="L4259" s="3">
        <v>4258</v>
      </c>
    </row>
    <row r="4260" spans="1:12" x14ac:dyDescent="0.15">
      <c r="A4260" s="1" t="s">
        <v>908</v>
      </c>
      <c r="B4260" s="1" t="s">
        <v>483</v>
      </c>
      <c r="D4260" s="1" t="s">
        <v>591</v>
      </c>
      <c r="E4260" s="1" t="s">
        <v>386</v>
      </c>
      <c r="F4260" s="3">
        <v>0</v>
      </c>
      <c r="G4260" s="8" t="s">
        <v>2773</v>
      </c>
      <c r="H4260" s="8" t="s">
        <v>5159</v>
      </c>
      <c r="I4260" s="3">
        <v>22</v>
      </c>
      <c r="J4260" s="3" t="s">
        <v>6345</v>
      </c>
      <c r="K4260" s="17" t="str">
        <f>HYPERLINK("http://ictvonline.org/taxonomyHistory.asp?taxnode_id=20174675","ICTVonline=20174675")</f>
        <v>ICTVonline=20174675</v>
      </c>
      <c r="L4260" s="3">
        <v>4259</v>
      </c>
    </row>
    <row r="4261" spans="1:12" x14ac:dyDescent="0.15">
      <c r="A4261" s="1" t="s">
        <v>908</v>
      </c>
      <c r="B4261" s="1" t="s">
        <v>483</v>
      </c>
      <c r="D4261" s="1" t="s">
        <v>591</v>
      </c>
      <c r="E4261" s="1" t="s">
        <v>387</v>
      </c>
      <c r="F4261" s="3">
        <v>0</v>
      </c>
      <c r="G4261" s="8" t="s">
        <v>2773</v>
      </c>
      <c r="H4261" s="8" t="s">
        <v>5159</v>
      </c>
      <c r="I4261" s="3">
        <v>22</v>
      </c>
      <c r="J4261" s="3" t="s">
        <v>6345</v>
      </c>
      <c r="K4261" s="17" t="str">
        <f>HYPERLINK("http://ictvonline.org/taxonomyHistory.asp?taxnode_id=20174676","ICTVonline=20174676")</f>
        <v>ICTVonline=20174676</v>
      </c>
      <c r="L4261" s="3">
        <v>4260</v>
      </c>
    </row>
    <row r="4262" spans="1:12" x14ac:dyDescent="0.15">
      <c r="A4262" s="1" t="s">
        <v>908</v>
      </c>
      <c r="B4262" s="1" t="s">
        <v>483</v>
      </c>
      <c r="D4262" s="1" t="s">
        <v>591</v>
      </c>
      <c r="E4262" s="1" t="s">
        <v>388</v>
      </c>
      <c r="F4262" s="3">
        <v>0</v>
      </c>
      <c r="G4262" s="8" t="s">
        <v>2773</v>
      </c>
      <c r="H4262" s="8" t="s">
        <v>5159</v>
      </c>
      <c r="I4262" s="3">
        <v>18</v>
      </c>
      <c r="J4262" s="3" t="s">
        <v>5597</v>
      </c>
      <c r="K4262" s="17" t="str">
        <f>HYPERLINK("http://ictvonline.org/taxonomyHistory.asp?taxnode_id=20174677","ICTVonline=20174677")</f>
        <v>ICTVonline=20174677</v>
      </c>
      <c r="L4262" s="3">
        <v>4261</v>
      </c>
    </row>
    <row r="4263" spans="1:12" x14ac:dyDescent="0.15">
      <c r="A4263" s="1" t="s">
        <v>908</v>
      </c>
      <c r="B4263" s="1" t="s">
        <v>483</v>
      </c>
      <c r="D4263" s="1" t="s">
        <v>591</v>
      </c>
      <c r="E4263" s="1" t="s">
        <v>1481</v>
      </c>
      <c r="F4263" s="3">
        <v>0</v>
      </c>
      <c r="G4263" s="8" t="s">
        <v>2773</v>
      </c>
      <c r="H4263" s="8" t="s">
        <v>5161</v>
      </c>
      <c r="I4263" s="3">
        <v>13</v>
      </c>
      <c r="J4263" s="3" t="s">
        <v>6016</v>
      </c>
      <c r="K4263" s="17" t="str">
        <f>HYPERLINK("http://ictvonline.org/taxonomyHistory.asp?taxnode_id=20174678","ICTVonline=20174678")</f>
        <v>ICTVonline=20174678</v>
      </c>
      <c r="L4263" s="3">
        <v>4262</v>
      </c>
    </row>
    <row r="4264" spans="1:12" x14ac:dyDescent="0.15">
      <c r="A4264" s="1" t="s">
        <v>908</v>
      </c>
      <c r="B4264" s="1" t="s">
        <v>483</v>
      </c>
      <c r="D4264" s="1" t="s">
        <v>591</v>
      </c>
      <c r="E4264" s="1" t="s">
        <v>1482</v>
      </c>
      <c r="F4264" s="3">
        <v>0</v>
      </c>
      <c r="G4264" s="8" t="s">
        <v>2773</v>
      </c>
      <c r="H4264" s="8" t="s">
        <v>5161</v>
      </c>
      <c r="I4264" s="3">
        <v>13</v>
      </c>
      <c r="J4264" s="3" t="s">
        <v>6016</v>
      </c>
      <c r="K4264" s="17" t="str">
        <f>HYPERLINK("http://ictvonline.org/taxonomyHistory.asp?taxnode_id=20174679","ICTVonline=20174679")</f>
        <v>ICTVonline=20174679</v>
      </c>
      <c r="L4264" s="3">
        <v>4263</v>
      </c>
    </row>
    <row r="4265" spans="1:12" x14ac:dyDescent="0.15">
      <c r="A4265" s="1" t="s">
        <v>908</v>
      </c>
      <c r="B4265" s="1" t="s">
        <v>483</v>
      </c>
      <c r="D4265" s="1" t="s">
        <v>591</v>
      </c>
      <c r="E4265" s="1" t="s">
        <v>1906</v>
      </c>
      <c r="F4265" s="3">
        <v>0</v>
      </c>
      <c r="G4265" s="8" t="s">
        <v>2773</v>
      </c>
      <c r="H4265" s="8" t="s">
        <v>5159</v>
      </c>
      <c r="I4265" s="3">
        <v>25</v>
      </c>
      <c r="J4265" s="3" t="s">
        <v>6356</v>
      </c>
      <c r="K4265" s="17" t="str">
        <f>HYPERLINK("http://ictvonline.org/taxonomyHistory.asp?taxnode_id=20174680","ICTVonline=20174680")</f>
        <v>ICTVonline=20174680</v>
      </c>
      <c r="L4265" s="3">
        <v>4264</v>
      </c>
    </row>
    <row r="4266" spans="1:12" x14ac:dyDescent="0.15">
      <c r="A4266" s="1" t="s">
        <v>908</v>
      </c>
      <c r="B4266" s="1" t="s">
        <v>483</v>
      </c>
      <c r="D4266" s="1" t="s">
        <v>591</v>
      </c>
      <c r="E4266" s="1" t="s">
        <v>1483</v>
      </c>
      <c r="F4266" s="3">
        <v>0</v>
      </c>
      <c r="G4266" s="8" t="s">
        <v>2773</v>
      </c>
      <c r="H4266" s="8" t="s">
        <v>5161</v>
      </c>
      <c r="I4266" s="3">
        <v>13</v>
      </c>
      <c r="J4266" s="3" t="s">
        <v>6016</v>
      </c>
      <c r="K4266" s="17" t="str">
        <f>HYPERLINK("http://ictvonline.org/taxonomyHistory.asp?taxnode_id=20174681","ICTVonline=20174681")</f>
        <v>ICTVonline=20174681</v>
      </c>
      <c r="L4266" s="3">
        <v>4265</v>
      </c>
    </row>
    <row r="4267" spans="1:12" x14ac:dyDescent="0.15">
      <c r="A4267" s="1" t="s">
        <v>908</v>
      </c>
      <c r="B4267" s="1" t="s">
        <v>483</v>
      </c>
      <c r="D4267" s="1" t="s">
        <v>591</v>
      </c>
      <c r="E4267" s="1" t="s">
        <v>198</v>
      </c>
      <c r="F4267" s="3">
        <v>0</v>
      </c>
      <c r="G4267" s="8" t="s">
        <v>2773</v>
      </c>
      <c r="H4267" s="8" t="s">
        <v>5159</v>
      </c>
      <c r="I4267" s="3">
        <v>26</v>
      </c>
      <c r="J4267" s="3" t="s">
        <v>6369</v>
      </c>
      <c r="K4267" s="17" t="str">
        <f>HYPERLINK("http://ictvonline.org/taxonomyHistory.asp?taxnode_id=20174682","ICTVonline=20174682")</f>
        <v>ICTVonline=20174682</v>
      </c>
      <c r="L4267" s="3">
        <v>4266</v>
      </c>
    </row>
    <row r="4268" spans="1:12" x14ac:dyDescent="0.15">
      <c r="A4268" s="1" t="s">
        <v>908</v>
      </c>
      <c r="B4268" s="1" t="s">
        <v>483</v>
      </c>
      <c r="D4268" s="1" t="s">
        <v>591</v>
      </c>
      <c r="E4268" s="1" t="s">
        <v>4150</v>
      </c>
      <c r="F4268" s="3">
        <v>0</v>
      </c>
      <c r="G4268" s="8" t="s">
        <v>2773</v>
      </c>
      <c r="H4268" s="8" t="s">
        <v>5159</v>
      </c>
      <c r="I4268" s="3">
        <v>30</v>
      </c>
      <c r="J4268" s="3" t="s">
        <v>6352</v>
      </c>
      <c r="K4268" s="17" t="str">
        <f>HYPERLINK("http://ictvonline.org/taxonomyHistory.asp?taxnode_id=20174683","ICTVonline=20174683")</f>
        <v>ICTVonline=20174683</v>
      </c>
      <c r="L4268" s="3">
        <v>4267</v>
      </c>
    </row>
    <row r="4269" spans="1:12" x14ac:dyDescent="0.15">
      <c r="A4269" s="1" t="s">
        <v>908</v>
      </c>
      <c r="B4269" s="1" t="s">
        <v>483</v>
      </c>
      <c r="D4269" s="1" t="s">
        <v>591</v>
      </c>
      <c r="E4269" s="1" t="s">
        <v>1484</v>
      </c>
      <c r="F4269" s="3">
        <v>0</v>
      </c>
      <c r="G4269" s="8" t="s">
        <v>2773</v>
      </c>
      <c r="H4269" s="8" t="s">
        <v>5159</v>
      </c>
      <c r="I4269" s="3">
        <v>22</v>
      </c>
      <c r="J4269" s="3" t="s">
        <v>6345</v>
      </c>
      <c r="K4269" s="17" t="str">
        <f>HYPERLINK("http://ictvonline.org/taxonomyHistory.asp?taxnode_id=20174684","ICTVonline=20174684")</f>
        <v>ICTVonline=20174684</v>
      </c>
      <c r="L4269" s="3">
        <v>4268</v>
      </c>
    </row>
    <row r="4270" spans="1:12" x14ac:dyDescent="0.15">
      <c r="A4270" s="1" t="s">
        <v>908</v>
      </c>
      <c r="B4270" s="1" t="s">
        <v>483</v>
      </c>
      <c r="D4270" s="1" t="s">
        <v>591</v>
      </c>
      <c r="E4270" s="1" t="s">
        <v>6370</v>
      </c>
      <c r="F4270" s="3">
        <v>0</v>
      </c>
      <c r="G4270" s="8" t="s">
        <v>2773</v>
      </c>
      <c r="H4270" s="8" t="s">
        <v>5159</v>
      </c>
      <c r="I4270" s="3">
        <v>32</v>
      </c>
      <c r="J4270" s="3" t="s">
        <v>6347</v>
      </c>
      <c r="K4270" s="17" t="str">
        <f>HYPERLINK("http://ictvonline.org/taxonomyHistory.asp?taxnode_id=20175923","ICTVonline=20175923")</f>
        <v>ICTVonline=20175923</v>
      </c>
      <c r="L4270" s="3">
        <v>4269</v>
      </c>
    </row>
    <row r="4271" spans="1:12" x14ac:dyDescent="0.15">
      <c r="A4271" s="1" t="s">
        <v>908</v>
      </c>
      <c r="B4271" s="1" t="s">
        <v>483</v>
      </c>
      <c r="D4271" s="1" t="s">
        <v>591</v>
      </c>
      <c r="E4271" s="1" t="s">
        <v>1485</v>
      </c>
      <c r="F4271" s="3">
        <v>0</v>
      </c>
      <c r="G4271" s="8" t="s">
        <v>2773</v>
      </c>
      <c r="H4271" s="8" t="s">
        <v>5161</v>
      </c>
      <c r="I4271" s="3">
        <v>13</v>
      </c>
      <c r="J4271" s="3" t="s">
        <v>6016</v>
      </c>
      <c r="K4271" s="17" t="str">
        <f>HYPERLINK("http://ictvonline.org/taxonomyHistory.asp?taxnode_id=20174685","ICTVonline=20174685")</f>
        <v>ICTVonline=20174685</v>
      </c>
      <c r="L4271" s="3">
        <v>4270</v>
      </c>
    </row>
    <row r="4272" spans="1:12" x14ac:dyDescent="0.15">
      <c r="A4272" s="1" t="s">
        <v>908</v>
      </c>
      <c r="B4272" s="1" t="s">
        <v>483</v>
      </c>
      <c r="D4272" s="1" t="s">
        <v>591</v>
      </c>
      <c r="E4272" s="1" t="s">
        <v>1486</v>
      </c>
      <c r="F4272" s="3">
        <v>0</v>
      </c>
      <c r="G4272" s="8" t="s">
        <v>2773</v>
      </c>
      <c r="H4272" s="8" t="s">
        <v>5159</v>
      </c>
      <c r="I4272" s="3">
        <v>17</v>
      </c>
      <c r="J4272" s="3" t="s">
        <v>5970</v>
      </c>
      <c r="K4272" s="17" t="str">
        <f>HYPERLINK("http://ictvonline.org/taxonomyHistory.asp?taxnode_id=20174686","ICTVonline=20174686")</f>
        <v>ICTVonline=20174686</v>
      </c>
      <c r="L4272" s="3">
        <v>4271</v>
      </c>
    </row>
    <row r="4273" spans="1:12" x14ac:dyDescent="0.15">
      <c r="A4273" s="1" t="s">
        <v>908</v>
      </c>
      <c r="B4273" s="1" t="s">
        <v>483</v>
      </c>
      <c r="D4273" s="1" t="s">
        <v>591</v>
      </c>
      <c r="E4273" s="1" t="s">
        <v>249</v>
      </c>
      <c r="F4273" s="3">
        <v>0</v>
      </c>
      <c r="G4273" s="8" t="s">
        <v>2773</v>
      </c>
      <c r="H4273" s="8" t="s">
        <v>5159</v>
      </c>
      <c r="I4273" s="3">
        <v>22</v>
      </c>
      <c r="J4273" s="3" t="s">
        <v>6345</v>
      </c>
      <c r="K4273" s="17" t="str">
        <f>HYPERLINK("http://ictvonline.org/taxonomyHistory.asp?taxnode_id=20174687","ICTVonline=20174687")</f>
        <v>ICTVonline=20174687</v>
      </c>
      <c r="L4273" s="3">
        <v>4272</v>
      </c>
    </row>
    <row r="4274" spans="1:12" x14ac:dyDescent="0.15">
      <c r="A4274" s="1" t="s">
        <v>908</v>
      </c>
      <c r="B4274" s="1" t="s">
        <v>483</v>
      </c>
      <c r="D4274" s="1" t="s">
        <v>591</v>
      </c>
      <c r="E4274" s="1" t="s">
        <v>250</v>
      </c>
      <c r="F4274" s="3">
        <v>0</v>
      </c>
      <c r="G4274" s="8" t="s">
        <v>2773</v>
      </c>
      <c r="H4274" s="8" t="s">
        <v>5159</v>
      </c>
      <c r="I4274" s="3">
        <v>24</v>
      </c>
      <c r="J4274" s="3" t="s">
        <v>6357</v>
      </c>
      <c r="K4274" s="17" t="str">
        <f>HYPERLINK("http://ictvonline.org/taxonomyHistory.asp?taxnode_id=20174688","ICTVonline=20174688")</f>
        <v>ICTVonline=20174688</v>
      </c>
      <c r="L4274" s="3">
        <v>4273</v>
      </c>
    </row>
    <row r="4275" spans="1:12" x14ac:dyDescent="0.15">
      <c r="A4275" s="1" t="s">
        <v>908</v>
      </c>
      <c r="B4275" s="1" t="s">
        <v>483</v>
      </c>
      <c r="D4275" s="1" t="s">
        <v>591</v>
      </c>
      <c r="E4275" s="1" t="s">
        <v>199</v>
      </c>
      <c r="F4275" s="3">
        <v>0</v>
      </c>
      <c r="G4275" s="8" t="s">
        <v>2773</v>
      </c>
      <c r="H4275" s="8" t="s">
        <v>5159</v>
      </c>
      <c r="I4275" s="3">
        <v>26</v>
      </c>
      <c r="J4275" s="3" t="s">
        <v>6371</v>
      </c>
      <c r="K4275" s="17" t="str">
        <f>HYPERLINK("http://ictvonline.org/taxonomyHistory.asp?taxnode_id=20174689","ICTVonline=20174689")</f>
        <v>ICTVonline=20174689</v>
      </c>
      <c r="L4275" s="3">
        <v>4274</v>
      </c>
    </row>
    <row r="4276" spans="1:12" x14ac:dyDescent="0.15">
      <c r="A4276" s="1" t="s">
        <v>908</v>
      </c>
      <c r="B4276" s="1" t="s">
        <v>483</v>
      </c>
      <c r="D4276" s="1" t="s">
        <v>591</v>
      </c>
      <c r="E4276" s="1" t="s">
        <v>251</v>
      </c>
      <c r="F4276" s="3">
        <v>0</v>
      </c>
      <c r="G4276" s="8" t="s">
        <v>2773</v>
      </c>
      <c r="H4276" s="8" t="s">
        <v>5159</v>
      </c>
      <c r="I4276" s="3">
        <v>23</v>
      </c>
      <c r="J4276" s="3" t="s">
        <v>6020</v>
      </c>
      <c r="K4276" s="17" t="str">
        <f>HYPERLINK("http://ictvonline.org/taxonomyHistory.asp?taxnode_id=20174690","ICTVonline=20174690")</f>
        <v>ICTVonline=20174690</v>
      </c>
      <c r="L4276" s="3">
        <v>4275</v>
      </c>
    </row>
    <row r="4277" spans="1:12" x14ac:dyDescent="0.15">
      <c r="A4277" s="1" t="s">
        <v>908</v>
      </c>
      <c r="B4277" s="1" t="s">
        <v>483</v>
      </c>
      <c r="D4277" s="1" t="s">
        <v>591</v>
      </c>
      <c r="E4277" s="1" t="s">
        <v>4151</v>
      </c>
      <c r="F4277" s="3">
        <v>0</v>
      </c>
      <c r="G4277" s="8" t="s">
        <v>2773</v>
      </c>
      <c r="H4277" s="8" t="s">
        <v>5159</v>
      </c>
      <c r="I4277" s="3">
        <v>30</v>
      </c>
      <c r="J4277" s="3" t="s">
        <v>6352</v>
      </c>
      <c r="K4277" s="17" t="str">
        <f>HYPERLINK("http://ictvonline.org/taxonomyHistory.asp?taxnode_id=20174691","ICTVonline=20174691")</f>
        <v>ICTVonline=20174691</v>
      </c>
      <c r="L4277" s="3">
        <v>4276</v>
      </c>
    </row>
    <row r="4278" spans="1:12" x14ac:dyDescent="0.15">
      <c r="A4278" s="1" t="s">
        <v>908</v>
      </c>
      <c r="B4278" s="1" t="s">
        <v>483</v>
      </c>
      <c r="D4278" s="1" t="s">
        <v>591</v>
      </c>
      <c r="E4278" s="1" t="s">
        <v>252</v>
      </c>
      <c r="F4278" s="3">
        <v>0</v>
      </c>
      <c r="G4278" s="8" t="s">
        <v>2773</v>
      </c>
      <c r="H4278" s="8" t="s">
        <v>5161</v>
      </c>
      <c r="I4278" s="3">
        <v>13</v>
      </c>
      <c r="J4278" s="3" t="s">
        <v>6016</v>
      </c>
      <c r="K4278" s="17" t="str">
        <f>HYPERLINK("http://ictvonline.org/taxonomyHistory.asp?taxnode_id=20174692","ICTVonline=20174692")</f>
        <v>ICTVonline=20174692</v>
      </c>
      <c r="L4278" s="3">
        <v>4277</v>
      </c>
    </row>
    <row r="4279" spans="1:12" x14ac:dyDescent="0.15">
      <c r="A4279" s="1" t="s">
        <v>908</v>
      </c>
      <c r="B4279" s="1" t="s">
        <v>483</v>
      </c>
      <c r="D4279" s="1" t="s">
        <v>591</v>
      </c>
      <c r="E4279" s="1" t="s">
        <v>2159</v>
      </c>
      <c r="F4279" s="3">
        <v>0</v>
      </c>
      <c r="G4279" s="8" t="s">
        <v>2773</v>
      </c>
      <c r="H4279" s="8" t="s">
        <v>5159</v>
      </c>
      <c r="I4279" s="3">
        <v>25</v>
      </c>
      <c r="J4279" s="3" t="s">
        <v>6358</v>
      </c>
      <c r="K4279" s="17" t="str">
        <f>HYPERLINK("http://ictvonline.org/taxonomyHistory.asp?taxnode_id=20174693","ICTVonline=20174693")</f>
        <v>ICTVonline=20174693</v>
      </c>
      <c r="L4279" s="3">
        <v>4278</v>
      </c>
    </row>
    <row r="4280" spans="1:12" x14ac:dyDescent="0.15">
      <c r="A4280" s="1" t="s">
        <v>908</v>
      </c>
      <c r="B4280" s="1" t="s">
        <v>483</v>
      </c>
      <c r="D4280" s="1" t="s">
        <v>591</v>
      </c>
      <c r="E4280" s="1" t="s">
        <v>253</v>
      </c>
      <c r="F4280" s="3">
        <v>0</v>
      </c>
      <c r="G4280" s="8" t="s">
        <v>2773</v>
      </c>
      <c r="H4280" s="8" t="s">
        <v>5159</v>
      </c>
      <c r="I4280" s="3">
        <v>24</v>
      </c>
      <c r="J4280" s="3" t="s">
        <v>6357</v>
      </c>
      <c r="K4280" s="17" t="str">
        <f>HYPERLINK("http://ictvonline.org/taxonomyHistory.asp?taxnode_id=20174694","ICTVonline=20174694")</f>
        <v>ICTVonline=20174694</v>
      </c>
      <c r="L4280" s="3">
        <v>4279</v>
      </c>
    </row>
    <row r="4281" spans="1:12" x14ac:dyDescent="0.15">
      <c r="A4281" s="1" t="s">
        <v>908</v>
      </c>
      <c r="B4281" s="1" t="s">
        <v>483</v>
      </c>
      <c r="D4281" s="1" t="s">
        <v>591</v>
      </c>
      <c r="E4281" s="1" t="s">
        <v>254</v>
      </c>
      <c r="F4281" s="3">
        <v>0</v>
      </c>
      <c r="G4281" s="8" t="s">
        <v>2773</v>
      </c>
      <c r="H4281" s="8" t="s">
        <v>5161</v>
      </c>
      <c r="I4281" s="3">
        <v>13</v>
      </c>
      <c r="J4281" s="3" t="s">
        <v>6016</v>
      </c>
      <c r="K4281" s="17" t="str">
        <f>HYPERLINK("http://ictvonline.org/taxonomyHistory.asp?taxnode_id=20174695","ICTVonline=20174695")</f>
        <v>ICTVonline=20174695</v>
      </c>
      <c r="L4281" s="3">
        <v>4280</v>
      </c>
    </row>
    <row r="4282" spans="1:12" x14ac:dyDescent="0.15">
      <c r="A4282" s="1" t="s">
        <v>908</v>
      </c>
      <c r="B4282" s="1" t="s">
        <v>483</v>
      </c>
      <c r="D4282" s="1" t="s">
        <v>591</v>
      </c>
      <c r="E4282" s="1" t="s">
        <v>6372</v>
      </c>
      <c r="F4282" s="3">
        <v>0</v>
      </c>
      <c r="G4282" s="8" t="s">
        <v>2773</v>
      </c>
      <c r="H4282" s="8" t="s">
        <v>5159</v>
      </c>
      <c r="I4282" s="3">
        <v>32</v>
      </c>
      <c r="J4282" s="3" t="s">
        <v>6347</v>
      </c>
      <c r="K4282" s="17" t="str">
        <f>HYPERLINK("http://ictvonline.org/taxonomyHistory.asp?taxnode_id=20175924","ICTVonline=20175924")</f>
        <v>ICTVonline=20175924</v>
      </c>
      <c r="L4282" s="3">
        <v>4281</v>
      </c>
    </row>
    <row r="4283" spans="1:12" x14ac:dyDescent="0.15">
      <c r="A4283" s="1" t="s">
        <v>908</v>
      </c>
      <c r="B4283" s="1" t="s">
        <v>483</v>
      </c>
      <c r="D4283" s="1" t="s">
        <v>591</v>
      </c>
      <c r="E4283" s="1" t="s">
        <v>389</v>
      </c>
      <c r="F4283" s="3">
        <v>0</v>
      </c>
      <c r="G4283" s="8" t="s">
        <v>2773</v>
      </c>
      <c r="H4283" s="8" t="s">
        <v>5159</v>
      </c>
      <c r="I4283" s="3">
        <v>17</v>
      </c>
      <c r="J4283" s="3" t="s">
        <v>5970</v>
      </c>
      <c r="K4283" s="17" t="str">
        <f>HYPERLINK("http://ictvonline.org/taxonomyHistory.asp?taxnode_id=20174696","ICTVonline=20174696")</f>
        <v>ICTVonline=20174696</v>
      </c>
      <c r="L4283" s="3">
        <v>4282</v>
      </c>
    </row>
    <row r="4284" spans="1:12" x14ac:dyDescent="0.15">
      <c r="A4284" s="1" t="s">
        <v>908</v>
      </c>
      <c r="B4284" s="1" t="s">
        <v>483</v>
      </c>
      <c r="D4284" s="1" t="s">
        <v>591</v>
      </c>
      <c r="E4284" s="1" t="s">
        <v>390</v>
      </c>
      <c r="F4284" s="3">
        <v>0</v>
      </c>
      <c r="G4284" s="8" t="s">
        <v>2773</v>
      </c>
      <c r="H4284" s="8" t="s">
        <v>5161</v>
      </c>
      <c r="I4284" s="3">
        <v>13</v>
      </c>
      <c r="J4284" s="3" t="s">
        <v>6016</v>
      </c>
      <c r="K4284" s="17" t="str">
        <f>HYPERLINK("http://ictvonline.org/taxonomyHistory.asp?taxnode_id=20174697","ICTVonline=20174697")</f>
        <v>ICTVonline=20174697</v>
      </c>
      <c r="L4284" s="3">
        <v>4283</v>
      </c>
    </row>
    <row r="4285" spans="1:12" x14ac:dyDescent="0.15">
      <c r="A4285" s="1" t="s">
        <v>908</v>
      </c>
      <c r="B4285" s="1" t="s">
        <v>483</v>
      </c>
      <c r="D4285" s="1" t="s">
        <v>591</v>
      </c>
      <c r="E4285" s="1" t="s">
        <v>2729</v>
      </c>
      <c r="F4285" s="3">
        <v>0</v>
      </c>
      <c r="G4285" s="8" t="s">
        <v>2773</v>
      </c>
      <c r="H4285" s="8" t="s">
        <v>5159</v>
      </c>
      <c r="I4285" s="3">
        <v>29</v>
      </c>
      <c r="J4285" s="3" t="s">
        <v>6360</v>
      </c>
      <c r="K4285" s="17" t="str">
        <f>HYPERLINK("http://ictvonline.org/taxonomyHistory.asp?taxnode_id=20174698","ICTVonline=20174698")</f>
        <v>ICTVonline=20174698</v>
      </c>
      <c r="L4285" s="3">
        <v>4284</v>
      </c>
    </row>
    <row r="4286" spans="1:12" x14ac:dyDescent="0.15">
      <c r="A4286" s="1" t="s">
        <v>908</v>
      </c>
      <c r="B4286" s="1" t="s">
        <v>483</v>
      </c>
      <c r="D4286" s="1" t="s">
        <v>591</v>
      </c>
      <c r="E4286" s="1" t="s">
        <v>391</v>
      </c>
      <c r="F4286" s="3">
        <v>0</v>
      </c>
      <c r="G4286" s="8" t="s">
        <v>2773</v>
      </c>
      <c r="H4286" s="8" t="s">
        <v>5159</v>
      </c>
      <c r="I4286" s="3">
        <v>24</v>
      </c>
      <c r="J4286" s="3" t="s">
        <v>6357</v>
      </c>
      <c r="K4286" s="17" t="str">
        <f>HYPERLINK("http://ictvonline.org/taxonomyHistory.asp?taxnode_id=20174699","ICTVonline=20174699")</f>
        <v>ICTVonline=20174699</v>
      </c>
      <c r="L4286" s="3">
        <v>4285</v>
      </c>
    </row>
    <row r="4287" spans="1:12" x14ac:dyDescent="0.15">
      <c r="A4287" s="1" t="s">
        <v>908</v>
      </c>
      <c r="B4287" s="1" t="s">
        <v>483</v>
      </c>
      <c r="D4287" s="1" t="s">
        <v>591</v>
      </c>
      <c r="E4287" s="1" t="s">
        <v>392</v>
      </c>
      <c r="F4287" s="3">
        <v>0</v>
      </c>
      <c r="G4287" s="8" t="s">
        <v>2773</v>
      </c>
      <c r="H4287" s="8" t="s">
        <v>5159</v>
      </c>
      <c r="I4287" s="3">
        <v>18</v>
      </c>
      <c r="J4287" s="3" t="s">
        <v>5597</v>
      </c>
      <c r="K4287" s="17" t="str">
        <f>HYPERLINK("http://ictvonline.org/taxonomyHistory.asp?taxnode_id=20174700","ICTVonline=20174700")</f>
        <v>ICTVonline=20174700</v>
      </c>
      <c r="L4287" s="3">
        <v>4286</v>
      </c>
    </row>
    <row r="4288" spans="1:12" x14ac:dyDescent="0.15">
      <c r="A4288" s="1" t="s">
        <v>908</v>
      </c>
      <c r="B4288" s="1" t="s">
        <v>483</v>
      </c>
      <c r="D4288" s="1" t="s">
        <v>591</v>
      </c>
      <c r="E4288" s="1" t="s">
        <v>393</v>
      </c>
      <c r="F4288" s="3">
        <v>0</v>
      </c>
      <c r="G4288" s="8" t="s">
        <v>2773</v>
      </c>
      <c r="H4288" s="8" t="s">
        <v>5159</v>
      </c>
      <c r="I4288" s="3">
        <v>24</v>
      </c>
      <c r="J4288" s="3" t="s">
        <v>6357</v>
      </c>
      <c r="K4288" s="17" t="str">
        <f>HYPERLINK("http://ictvonline.org/taxonomyHistory.asp?taxnode_id=20174701","ICTVonline=20174701")</f>
        <v>ICTVonline=20174701</v>
      </c>
      <c r="L4288" s="3">
        <v>4287</v>
      </c>
    </row>
    <row r="4289" spans="1:12" x14ac:dyDescent="0.15">
      <c r="A4289" s="1" t="s">
        <v>908</v>
      </c>
      <c r="B4289" s="1" t="s">
        <v>483</v>
      </c>
      <c r="D4289" s="1" t="s">
        <v>591</v>
      </c>
      <c r="E4289" s="1" t="s">
        <v>394</v>
      </c>
      <c r="F4289" s="3">
        <v>0</v>
      </c>
      <c r="G4289" s="8" t="s">
        <v>2773</v>
      </c>
      <c r="H4289" s="8" t="s">
        <v>5161</v>
      </c>
      <c r="I4289" s="3">
        <v>13</v>
      </c>
      <c r="J4289" s="3" t="s">
        <v>6016</v>
      </c>
      <c r="K4289" s="17" t="str">
        <f>HYPERLINK("http://ictvonline.org/taxonomyHistory.asp?taxnode_id=20174702","ICTVonline=20174702")</f>
        <v>ICTVonline=20174702</v>
      </c>
      <c r="L4289" s="3">
        <v>4288</v>
      </c>
    </row>
    <row r="4290" spans="1:12" x14ac:dyDescent="0.15">
      <c r="A4290" s="1" t="s">
        <v>908</v>
      </c>
      <c r="B4290" s="1" t="s">
        <v>483</v>
      </c>
      <c r="D4290" s="1" t="s">
        <v>591</v>
      </c>
      <c r="E4290" s="1" t="s">
        <v>395</v>
      </c>
      <c r="F4290" s="3">
        <v>0</v>
      </c>
      <c r="G4290" s="8" t="s">
        <v>2773</v>
      </c>
      <c r="H4290" s="8" t="s">
        <v>5159</v>
      </c>
      <c r="I4290" s="3">
        <v>23</v>
      </c>
      <c r="J4290" s="3" t="s">
        <v>6020</v>
      </c>
      <c r="K4290" s="17" t="str">
        <f>HYPERLINK("http://ictvonline.org/taxonomyHistory.asp?taxnode_id=20174703","ICTVonline=20174703")</f>
        <v>ICTVonline=20174703</v>
      </c>
      <c r="L4290" s="3">
        <v>4289</v>
      </c>
    </row>
    <row r="4291" spans="1:12" x14ac:dyDescent="0.15">
      <c r="A4291" s="1" t="s">
        <v>908</v>
      </c>
      <c r="B4291" s="1" t="s">
        <v>483</v>
      </c>
      <c r="D4291" s="1" t="s">
        <v>591</v>
      </c>
      <c r="E4291" s="1" t="s">
        <v>396</v>
      </c>
      <c r="F4291" s="3">
        <v>0</v>
      </c>
      <c r="G4291" s="8" t="s">
        <v>2773</v>
      </c>
      <c r="H4291" s="8" t="s">
        <v>5168</v>
      </c>
      <c r="I4291" s="3">
        <v>18</v>
      </c>
      <c r="J4291" s="3" t="s">
        <v>5597</v>
      </c>
      <c r="K4291" s="17" t="str">
        <f>HYPERLINK("http://ictvonline.org/taxonomyHistory.asp?taxnode_id=20174704","ICTVonline=20174704")</f>
        <v>ICTVonline=20174704</v>
      </c>
      <c r="L4291" s="3">
        <v>4290</v>
      </c>
    </row>
    <row r="4292" spans="1:12" x14ac:dyDescent="0.15">
      <c r="A4292" s="1" t="s">
        <v>908</v>
      </c>
      <c r="B4292" s="1" t="s">
        <v>483</v>
      </c>
      <c r="D4292" s="1" t="s">
        <v>591</v>
      </c>
      <c r="E4292" s="1" t="s">
        <v>2160</v>
      </c>
      <c r="F4292" s="3">
        <v>0</v>
      </c>
      <c r="G4292" s="8" t="s">
        <v>2773</v>
      </c>
      <c r="H4292" s="8" t="s">
        <v>5159</v>
      </c>
      <c r="I4292" s="3">
        <v>25</v>
      </c>
      <c r="J4292" s="3" t="s">
        <v>6358</v>
      </c>
      <c r="K4292" s="17" t="str">
        <f>HYPERLINK("http://ictvonline.org/taxonomyHistory.asp?taxnode_id=20174705","ICTVonline=20174705")</f>
        <v>ICTVonline=20174705</v>
      </c>
      <c r="L4292" s="3">
        <v>4291</v>
      </c>
    </row>
    <row r="4293" spans="1:12" x14ac:dyDescent="0.15">
      <c r="A4293" s="1" t="s">
        <v>908</v>
      </c>
      <c r="B4293" s="1" t="s">
        <v>483</v>
      </c>
      <c r="D4293" s="1" t="s">
        <v>591</v>
      </c>
      <c r="E4293" s="1" t="s">
        <v>2161</v>
      </c>
      <c r="F4293" s="3">
        <v>0</v>
      </c>
      <c r="G4293" s="8" t="s">
        <v>2773</v>
      </c>
      <c r="H4293" s="8" t="s">
        <v>5159</v>
      </c>
      <c r="I4293" s="3">
        <v>25</v>
      </c>
      <c r="J4293" s="3" t="s">
        <v>6358</v>
      </c>
      <c r="K4293" s="17" t="str">
        <f>HYPERLINK("http://ictvonline.org/taxonomyHistory.asp?taxnode_id=20174706","ICTVonline=20174706")</f>
        <v>ICTVonline=20174706</v>
      </c>
      <c r="L4293" s="3">
        <v>4292</v>
      </c>
    </row>
    <row r="4294" spans="1:12" x14ac:dyDescent="0.15">
      <c r="A4294" s="1" t="s">
        <v>908</v>
      </c>
      <c r="B4294" s="1" t="s">
        <v>483</v>
      </c>
      <c r="D4294" s="1" t="s">
        <v>591</v>
      </c>
      <c r="E4294" s="1" t="s">
        <v>4152</v>
      </c>
      <c r="F4294" s="3">
        <v>0</v>
      </c>
      <c r="G4294" s="8" t="s">
        <v>2773</v>
      </c>
      <c r="H4294" s="8" t="s">
        <v>5159</v>
      </c>
      <c r="I4294" s="3">
        <v>30</v>
      </c>
      <c r="J4294" s="3" t="s">
        <v>6352</v>
      </c>
      <c r="K4294" s="17" t="str">
        <f>HYPERLINK("http://ictvonline.org/taxonomyHistory.asp?taxnode_id=20174707","ICTVonline=20174707")</f>
        <v>ICTVonline=20174707</v>
      </c>
      <c r="L4294" s="3">
        <v>4293</v>
      </c>
    </row>
    <row r="4295" spans="1:12" x14ac:dyDescent="0.15">
      <c r="A4295" s="1" t="s">
        <v>908</v>
      </c>
      <c r="B4295" s="1" t="s">
        <v>483</v>
      </c>
      <c r="D4295" s="1" t="s">
        <v>591</v>
      </c>
      <c r="E4295" s="1" t="s">
        <v>2730</v>
      </c>
      <c r="F4295" s="3">
        <v>0</v>
      </c>
      <c r="G4295" s="8" t="s">
        <v>2773</v>
      </c>
      <c r="H4295" s="8" t="s">
        <v>5159</v>
      </c>
      <c r="I4295" s="3">
        <v>29</v>
      </c>
      <c r="J4295" s="3" t="s">
        <v>6360</v>
      </c>
      <c r="K4295" s="17" t="str">
        <f>HYPERLINK("http://ictvonline.org/taxonomyHistory.asp?taxnode_id=20174708","ICTVonline=20174708")</f>
        <v>ICTVonline=20174708</v>
      </c>
      <c r="L4295" s="3">
        <v>4294</v>
      </c>
    </row>
    <row r="4296" spans="1:12" x14ac:dyDescent="0.15">
      <c r="A4296" s="1" t="s">
        <v>908</v>
      </c>
      <c r="B4296" s="1" t="s">
        <v>483</v>
      </c>
      <c r="D4296" s="1" t="s">
        <v>591</v>
      </c>
      <c r="E4296" s="1" t="s">
        <v>397</v>
      </c>
      <c r="F4296" s="3">
        <v>0</v>
      </c>
      <c r="G4296" s="8" t="s">
        <v>2773</v>
      </c>
      <c r="H4296" s="8" t="s">
        <v>5159</v>
      </c>
      <c r="I4296" s="3">
        <v>23</v>
      </c>
      <c r="J4296" s="3" t="s">
        <v>6020</v>
      </c>
      <c r="K4296" s="17" t="str">
        <f>HYPERLINK("http://ictvonline.org/taxonomyHistory.asp?taxnode_id=20174709","ICTVonline=20174709")</f>
        <v>ICTVonline=20174709</v>
      </c>
      <c r="L4296" s="3">
        <v>4295</v>
      </c>
    </row>
    <row r="4297" spans="1:12" x14ac:dyDescent="0.15">
      <c r="A4297" s="1" t="s">
        <v>908</v>
      </c>
      <c r="B4297" s="1" t="s">
        <v>483</v>
      </c>
      <c r="D4297" s="1" t="s">
        <v>591</v>
      </c>
      <c r="E4297" s="1" t="s">
        <v>398</v>
      </c>
      <c r="F4297" s="3">
        <v>0</v>
      </c>
      <c r="G4297" s="8" t="s">
        <v>2773</v>
      </c>
      <c r="H4297" s="8" t="s">
        <v>5162</v>
      </c>
      <c r="I4297" s="3">
        <v>18</v>
      </c>
      <c r="J4297" s="3" t="s">
        <v>5597</v>
      </c>
      <c r="K4297" s="17" t="str">
        <f>HYPERLINK("http://ictvonline.org/taxonomyHistory.asp?taxnode_id=20174710","ICTVonline=20174710")</f>
        <v>ICTVonline=20174710</v>
      </c>
      <c r="L4297" s="3">
        <v>4296</v>
      </c>
    </row>
    <row r="4298" spans="1:12" x14ac:dyDescent="0.15">
      <c r="A4298" s="1" t="s">
        <v>908</v>
      </c>
      <c r="B4298" s="1" t="s">
        <v>483</v>
      </c>
      <c r="D4298" s="1" t="s">
        <v>591</v>
      </c>
      <c r="E4298" s="1" t="s">
        <v>6373</v>
      </c>
      <c r="F4298" s="3">
        <v>0</v>
      </c>
      <c r="G4298" s="8" t="s">
        <v>2773</v>
      </c>
      <c r="H4298" s="8" t="s">
        <v>5159</v>
      </c>
      <c r="I4298" s="3">
        <v>32</v>
      </c>
      <c r="J4298" s="3" t="s">
        <v>6347</v>
      </c>
      <c r="K4298" s="17" t="str">
        <f>HYPERLINK("http://ictvonline.org/taxonomyHistory.asp?taxnode_id=20175925","ICTVonline=20175925")</f>
        <v>ICTVonline=20175925</v>
      </c>
      <c r="L4298" s="3">
        <v>4297</v>
      </c>
    </row>
    <row r="4299" spans="1:12" x14ac:dyDescent="0.15">
      <c r="A4299" s="1" t="s">
        <v>908</v>
      </c>
      <c r="B4299" s="1" t="s">
        <v>483</v>
      </c>
      <c r="D4299" s="1" t="s">
        <v>591</v>
      </c>
      <c r="E4299" s="1" t="s">
        <v>1505</v>
      </c>
      <c r="F4299" s="3">
        <v>0</v>
      </c>
      <c r="G4299" s="8" t="s">
        <v>2773</v>
      </c>
      <c r="H4299" s="8" t="s">
        <v>5159</v>
      </c>
      <c r="I4299" s="3">
        <v>18</v>
      </c>
      <c r="J4299" s="3" t="s">
        <v>5597</v>
      </c>
      <c r="K4299" s="17" t="str">
        <f>HYPERLINK("http://ictvonline.org/taxonomyHistory.asp?taxnode_id=20174711","ICTVonline=20174711")</f>
        <v>ICTVonline=20174711</v>
      </c>
      <c r="L4299" s="3">
        <v>4298</v>
      </c>
    </row>
    <row r="4300" spans="1:12" x14ac:dyDescent="0.15">
      <c r="A4300" s="1" t="s">
        <v>908</v>
      </c>
      <c r="B4300" s="1" t="s">
        <v>483</v>
      </c>
      <c r="D4300" s="1" t="s">
        <v>591</v>
      </c>
      <c r="E4300" s="1" t="s">
        <v>2162</v>
      </c>
      <c r="F4300" s="3">
        <v>0</v>
      </c>
      <c r="G4300" s="8" t="s">
        <v>2773</v>
      </c>
      <c r="H4300" s="8" t="s">
        <v>5159</v>
      </c>
      <c r="I4300" s="3">
        <v>25</v>
      </c>
      <c r="J4300" s="3" t="s">
        <v>6358</v>
      </c>
      <c r="K4300" s="17" t="str">
        <f>HYPERLINK("http://ictvonline.org/taxonomyHistory.asp?taxnode_id=20174712","ICTVonline=20174712")</f>
        <v>ICTVonline=20174712</v>
      </c>
      <c r="L4300" s="3">
        <v>4299</v>
      </c>
    </row>
    <row r="4301" spans="1:12" x14ac:dyDescent="0.15">
      <c r="A4301" s="1" t="s">
        <v>908</v>
      </c>
      <c r="B4301" s="1" t="s">
        <v>483</v>
      </c>
      <c r="D4301" s="1" t="s">
        <v>591</v>
      </c>
      <c r="E4301" s="1" t="s">
        <v>1506</v>
      </c>
      <c r="F4301" s="3">
        <v>0</v>
      </c>
      <c r="G4301" s="8" t="s">
        <v>2773</v>
      </c>
      <c r="H4301" s="8" t="s">
        <v>5161</v>
      </c>
      <c r="I4301" s="3">
        <v>13</v>
      </c>
      <c r="J4301" s="3" t="s">
        <v>6016</v>
      </c>
      <c r="K4301" s="17" t="str">
        <f>HYPERLINK("http://ictvonline.org/taxonomyHistory.asp?taxnode_id=20174713","ICTVonline=20174713")</f>
        <v>ICTVonline=20174713</v>
      </c>
      <c r="L4301" s="3">
        <v>4300</v>
      </c>
    </row>
    <row r="4302" spans="1:12" x14ac:dyDescent="0.15">
      <c r="A4302" s="1" t="s">
        <v>908</v>
      </c>
      <c r="B4302" s="1" t="s">
        <v>483</v>
      </c>
      <c r="D4302" s="1" t="s">
        <v>591</v>
      </c>
      <c r="E4302" s="1" t="s">
        <v>1507</v>
      </c>
      <c r="F4302" s="3">
        <v>0</v>
      </c>
      <c r="G4302" s="8" t="s">
        <v>2773</v>
      </c>
      <c r="H4302" s="8" t="s">
        <v>5159</v>
      </c>
      <c r="I4302" s="3">
        <v>23</v>
      </c>
      <c r="J4302" s="3" t="s">
        <v>6020</v>
      </c>
      <c r="K4302" s="17" t="str">
        <f>HYPERLINK("http://ictvonline.org/taxonomyHistory.asp?taxnode_id=20174714","ICTVonline=20174714")</f>
        <v>ICTVonline=20174714</v>
      </c>
      <c r="L4302" s="3">
        <v>4301</v>
      </c>
    </row>
    <row r="4303" spans="1:12" x14ac:dyDescent="0.15">
      <c r="A4303" s="1" t="s">
        <v>908</v>
      </c>
      <c r="B4303" s="1" t="s">
        <v>483</v>
      </c>
      <c r="D4303" s="1" t="s">
        <v>591</v>
      </c>
      <c r="E4303" s="1" t="s">
        <v>1508</v>
      </c>
      <c r="F4303" s="3">
        <v>0</v>
      </c>
      <c r="G4303" s="8" t="s">
        <v>2773</v>
      </c>
      <c r="H4303" s="8" t="s">
        <v>5161</v>
      </c>
      <c r="I4303" s="3">
        <v>13</v>
      </c>
      <c r="J4303" s="3" t="s">
        <v>6016</v>
      </c>
      <c r="K4303" s="17" t="str">
        <f>HYPERLINK("http://ictvonline.org/taxonomyHistory.asp?taxnode_id=20174715","ICTVonline=20174715")</f>
        <v>ICTVonline=20174715</v>
      </c>
      <c r="L4303" s="3">
        <v>4302</v>
      </c>
    </row>
    <row r="4304" spans="1:12" x14ac:dyDescent="0.15">
      <c r="A4304" s="1" t="s">
        <v>908</v>
      </c>
      <c r="B4304" s="1" t="s">
        <v>483</v>
      </c>
      <c r="D4304" s="1" t="s">
        <v>591</v>
      </c>
      <c r="E4304" s="1" t="s">
        <v>200</v>
      </c>
      <c r="F4304" s="3">
        <v>0</v>
      </c>
      <c r="G4304" s="8" t="s">
        <v>2773</v>
      </c>
      <c r="H4304" s="8" t="s">
        <v>5159</v>
      </c>
      <c r="I4304" s="3">
        <v>26</v>
      </c>
      <c r="J4304" s="3" t="s">
        <v>6374</v>
      </c>
      <c r="K4304" s="17" t="str">
        <f>HYPERLINK("http://ictvonline.org/taxonomyHistory.asp?taxnode_id=20174716","ICTVonline=20174716")</f>
        <v>ICTVonline=20174716</v>
      </c>
      <c r="L4304" s="3">
        <v>4303</v>
      </c>
    </row>
    <row r="4305" spans="1:12" x14ac:dyDescent="0.15">
      <c r="A4305" s="1" t="s">
        <v>908</v>
      </c>
      <c r="B4305" s="1" t="s">
        <v>483</v>
      </c>
      <c r="D4305" s="1" t="s">
        <v>591</v>
      </c>
      <c r="E4305" s="1" t="s">
        <v>1509</v>
      </c>
      <c r="F4305" s="3">
        <v>0</v>
      </c>
      <c r="G4305" s="8" t="s">
        <v>2773</v>
      </c>
      <c r="H4305" s="8" t="s">
        <v>5159</v>
      </c>
      <c r="I4305" s="3">
        <v>24</v>
      </c>
      <c r="J4305" s="3" t="s">
        <v>6357</v>
      </c>
      <c r="K4305" s="17" t="str">
        <f>HYPERLINK("http://ictvonline.org/taxonomyHistory.asp?taxnode_id=20174717","ICTVonline=20174717")</f>
        <v>ICTVonline=20174717</v>
      </c>
      <c r="L4305" s="3">
        <v>4304</v>
      </c>
    </row>
    <row r="4306" spans="1:12" x14ac:dyDescent="0.15">
      <c r="A4306" s="1" t="s">
        <v>908</v>
      </c>
      <c r="B4306" s="1" t="s">
        <v>483</v>
      </c>
      <c r="D4306" s="1" t="s">
        <v>591</v>
      </c>
      <c r="E4306" s="1" t="s">
        <v>1510</v>
      </c>
      <c r="F4306" s="3">
        <v>0</v>
      </c>
      <c r="G4306" s="8" t="s">
        <v>2773</v>
      </c>
      <c r="H4306" s="8" t="s">
        <v>5159</v>
      </c>
      <c r="I4306" s="3">
        <v>22</v>
      </c>
      <c r="J4306" s="3" t="s">
        <v>6345</v>
      </c>
      <c r="K4306" s="17" t="str">
        <f>HYPERLINK("http://ictvonline.org/taxonomyHistory.asp?taxnode_id=20174718","ICTVonline=20174718")</f>
        <v>ICTVonline=20174718</v>
      </c>
      <c r="L4306" s="3">
        <v>4305</v>
      </c>
    </row>
    <row r="4307" spans="1:12" x14ac:dyDescent="0.15">
      <c r="A4307" s="1" t="s">
        <v>908</v>
      </c>
      <c r="B4307" s="1" t="s">
        <v>483</v>
      </c>
      <c r="D4307" s="1" t="s">
        <v>591</v>
      </c>
      <c r="E4307" s="1" t="s">
        <v>5060</v>
      </c>
      <c r="F4307" s="3">
        <v>0</v>
      </c>
      <c r="G4307" s="8" t="s">
        <v>2773</v>
      </c>
      <c r="H4307" s="8" t="s">
        <v>5159</v>
      </c>
      <c r="I4307" s="3">
        <v>31</v>
      </c>
      <c r="J4307" s="3" t="s">
        <v>6365</v>
      </c>
      <c r="K4307" s="17" t="str">
        <f>HYPERLINK("http://ictvonline.org/taxonomyHistory.asp?taxnode_id=20174719","ICTVonline=20174719")</f>
        <v>ICTVonline=20174719</v>
      </c>
      <c r="L4307" s="3">
        <v>4306</v>
      </c>
    </row>
    <row r="4308" spans="1:12" x14ac:dyDescent="0.15">
      <c r="A4308" s="1" t="s">
        <v>908</v>
      </c>
      <c r="B4308" s="1" t="s">
        <v>483</v>
      </c>
      <c r="D4308" s="1" t="s">
        <v>591</v>
      </c>
      <c r="E4308" s="1" t="s">
        <v>2731</v>
      </c>
      <c r="F4308" s="3">
        <v>0</v>
      </c>
      <c r="G4308" s="8" t="s">
        <v>2773</v>
      </c>
      <c r="H4308" s="8" t="s">
        <v>5159</v>
      </c>
      <c r="I4308" s="3">
        <v>29</v>
      </c>
      <c r="J4308" s="3" t="s">
        <v>6360</v>
      </c>
      <c r="K4308" s="17" t="str">
        <f>HYPERLINK("http://ictvonline.org/taxonomyHistory.asp?taxnode_id=20174720","ICTVonline=20174720")</f>
        <v>ICTVonline=20174720</v>
      </c>
      <c r="L4308" s="3">
        <v>4307</v>
      </c>
    </row>
    <row r="4309" spans="1:12" x14ac:dyDescent="0.15">
      <c r="A4309" s="1" t="s">
        <v>908</v>
      </c>
      <c r="B4309" s="1" t="s">
        <v>483</v>
      </c>
      <c r="D4309" s="1" t="s">
        <v>591</v>
      </c>
      <c r="E4309" s="1" t="s">
        <v>1610</v>
      </c>
      <c r="F4309" s="3">
        <v>0</v>
      </c>
      <c r="G4309" s="8" t="s">
        <v>2773</v>
      </c>
      <c r="H4309" s="8" t="s">
        <v>5161</v>
      </c>
      <c r="I4309" s="3">
        <v>13</v>
      </c>
      <c r="J4309" s="3" t="s">
        <v>6016</v>
      </c>
      <c r="K4309" s="17" t="str">
        <f>HYPERLINK("http://ictvonline.org/taxonomyHistory.asp?taxnode_id=20174721","ICTVonline=20174721")</f>
        <v>ICTVonline=20174721</v>
      </c>
      <c r="L4309" s="3">
        <v>4308</v>
      </c>
    </row>
    <row r="4310" spans="1:12" x14ac:dyDescent="0.15">
      <c r="A4310" s="1" t="s">
        <v>908</v>
      </c>
      <c r="B4310" s="1" t="s">
        <v>483</v>
      </c>
      <c r="D4310" s="1" t="s">
        <v>591</v>
      </c>
      <c r="E4310" s="1" t="s">
        <v>1611</v>
      </c>
      <c r="F4310" s="3">
        <v>0</v>
      </c>
      <c r="G4310" s="8" t="s">
        <v>2773</v>
      </c>
      <c r="H4310" s="8" t="s">
        <v>5161</v>
      </c>
      <c r="I4310" s="3">
        <v>13</v>
      </c>
      <c r="J4310" s="3" t="s">
        <v>6016</v>
      </c>
      <c r="K4310" s="17" t="str">
        <f>HYPERLINK("http://ictvonline.org/taxonomyHistory.asp?taxnode_id=20174722","ICTVonline=20174722")</f>
        <v>ICTVonline=20174722</v>
      </c>
      <c r="L4310" s="3">
        <v>4309</v>
      </c>
    </row>
    <row r="4311" spans="1:12" x14ac:dyDescent="0.15">
      <c r="A4311" s="1" t="s">
        <v>908</v>
      </c>
      <c r="B4311" s="1" t="s">
        <v>483</v>
      </c>
      <c r="D4311" s="1" t="s">
        <v>6375</v>
      </c>
      <c r="E4311" s="1" t="s">
        <v>2626</v>
      </c>
      <c r="F4311" s="3">
        <v>1</v>
      </c>
      <c r="G4311" s="8" t="s">
        <v>2773</v>
      </c>
      <c r="H4311" s="8" t="s">
        <v>5161</v>
      </c>
      <c r="I4311" s="3">
        <v>32</v>
      </c>
      <c r="J4311" s="3" t="s">
        <v>6343</v>
      </c>
      <c r="K4311" s="17" t="str">
        <f>HYPERLINK("http://ictvonline.org/taxonomyHistory.asp?taxnode_id=20174735","ICTVonline=20174735")</f>
        <v>ICTVonline=20174735</v>
      </c>
      <c r="L4311" s="3">
        <v>4310</v>
      </c>
    </row>
    <row r="4312" spans="1:12" x14ac:dyDescent="0.15">
      <c r="A4312" s="1" t="s">
        <v>908</v>
      </c>
      <c r="B4312" s="1" t="s">
        <v>483</v>
      </c>
      <c r="D4312" s="1" t="s">
        <v>1565</v>
      </c>
      <c r="E4312" s="1" t="s">
        <v>1566</v>
      </c>
      <c r="F4312" s="3">
        <v>0</v>
      </c>
      <c r="G4312" s="8" t="s">
        <v>2773</v>
      </c>
      <c r="H4312" s="8" t="s">
        <v>5159</v>
      </c>
      <c r="I4312" s="3">
        <v>13</v>
      </c>
      <c r="J4312" s="3" t="s">
        <v>6016</v>
      </c>
      <c r="K4312" s="17" t="str">
        <f>HYPERLINK("http://ictvonline.org/taxonomyHistory.asp?taxnode_id=20174724","ICTVonline=20174724")</f>
        <v>ICTVonline=20174724</v>
      </c>
      <c r="L4312" s="3">
        <v>4311</v>
      </c>
    </row>
    <row r="4313" spans="1:12" x14ac:dyDescent="0.15">
      <c r="A4313" s="1" t="s">
        <v>908</v>
      </c>
      <c r="B4313" s="1" t="s">
        <v>483</v>
      </c>
      <c r="D4313" s="1" t="s">
        <v>1565</v>
      </c>
      <c r="E4313" s="1" t="s">
        <v>1567</v>
      </c>
      <c r="F4313" s="3">
        <v>0</v>
      </c>
      <c r="G4313" s="8" t="s">
        <v>2773</v>
      </c>
      <c r="H4313" s="8" t="s">
        <v>5159</v>
      </c>
      <c r="I4313" s="3">
        <v>13</v>
      </c>
      <c r="J4313" s="3" t="s">
        <v>6016</v>
      </c>
      <c r="K4313" s="17" t="str">
        <f>HYPERLINK("http://ictvonline.org/taxonomyHistory.asp?taxnode_id=20174725","ICTVonline=20174725")</f>
        <v>ICTVonline=20174725</v>
      </c>
      <c r="L4313" s="3">
        <v>4312</v>
      </c>
    </row>
    <row r="4314" spans="1:12" x14ac:dyDescent="0.15">
      <c r="A4314" s="1" t="s">
        <v>908</v>
      </c>
      <c r="B4314" s="1" t="s">
        <v>483</v>
      </c>
      <c r="D4314" s="1" t="s">
        <v>1565</v>
      </c>
      <c r="E4314" s="1" t="s">
        <v>1568</v>
      </c>
      <c r="F4314" s="3">
        <v>1</v>
      </c>
      <c r="G4314" s="8" t="s">
        <v>2773</v>
      </c>
      <c r="H4314" s="8" t="s">
        <v>5164</v>
      </c>
      <c r="I4314" s="3">
        <v>13</v>
      </c>
      <c r="J4314" s="3" t="s">
        <v>6016</v>
      </c>
      <c r="K4314" s="17" t="str">
        <f>HYPERLINK("http://ictvonline.org/taxonomyHistory.asp?taxnode_id=20174726","ICTVonline=20174726")</f>
        <v>ICTVonline=20174726</v>
      </c>
      <c r="L4314" s="3">
        <v>4313</v>
      </c>
    </row>
    <row r="4315" spans="1:12" x14ac:dyDescent="0.15">
      <c r="A4315" s="1" t="s">
        <v>908</v>
      </c>
      <c r="B4315" s="1" t="s">
        <v>483</v>
      </c>
      <c r="D4315" s="1" t="s">
        <v>1569</v>
      </c>
      <c r="E4315" s="1" t="s">
        <v>1570</v>
      </c>
      <c r="F4315" s="3">
        <v>0</v>
      </c>
      <c r="G4315" s="8" t="s">
        <v>2773</v>
      </c>
      <c r="H4315" s="8" t="s">
        <v>5159</v>
      </c>
      <c r="I4315" s="3">
        <v>17</v>
      </c>
      <c r="J4315" s="3" t="s">
        <v>5970</v>
      </c>
      <c r="K4315" s="17" t="str">
        <f>HYPERLINK("http://ictvonline.org/taxonomyHistory.asp?taxnode_id=20174728","ICTVonline=20174728")</f>
        <v>ICTVonline=20174728</v>
      </c>
      <c r="L4315" s="3">
        <v>4314</v>
      </c>
    </row>
    <row r="4316" spans="1:12" x14ac:dyDescent="0.15">
      <c r="A4316" s="1" t="s">
        <v>908</v>
      </c>
      <c r="B4316" s="1" t="s">
        <v>483</v>
      </c>
      <c r="D4316" s="1" t="s">
        <v>1569</v>
      </c>
      <c r="E4316" s="1" t="s">
        <v>1571</v>
      </c>
      <c r="F4316" s="3">
        <v>0</v>
      </c>
      <c r="G4316" s="8" t="s">
        <v>2773</v>
      </c>
      <c r="H4316" s="8" t="s">
        <v>5161</v>
      </c>
      <c r="I4316" s="3">
        <v>22</v>
      </c>
      <c r="J4316" s="3" t="s">
        <v>6345</v>
      </c>
      <c r="K4316" s="17" t="str">
        <f>HYPERLINK("http://ictvonline.org/taxonomyHistory.asp?taxnode_id=20174729","ICTVonline=20174729")</f>
        <v>ICTVonline=20174729</v>
      </c>
      <c r="L4316" s="3">
        <v>4315</v>
      </c>
    </row>
    <row r="4317" spans="1:12" x14ac:dyDescent="0.15">
      <c r="A4317" s="1" t="s">
        <v>908</v>
      </c>
      <c r="B4317" s="1" t="s">
        <v>483</v>
      </c>
      <c r="D4317" s="1" t="s">
        <v>1569</v>
      </c>
      <c r="E4317" s="1" t="s">
        <v>2732</v>
      </c>
      <c r="F4317" s="3">
        <v>0</v>
      </c>
      <c r="G4317" s="8" t="s">
        <v>2773</v>
      </c>
      <c r="H4317" s="8" t="s">
        <v>5159</v>
      </c>
      <c r="I4317" s="3">
        <v>29</v>
      </c>
      <c r="J4317" s="3" t="s">
        <v>6376</v>
      </c>
      <c r="K4317" s="17" t="str">
        <f>HYPERLINK("http://ictvonline.org/taxonomyHistory.asp?taxnode_id=20174730","ICTVonline=20174730")</f>
        <v>ICTVonline=20174730</v>
      </c>
      <c r="L4317" s="3">
        <v>4316</v>
      </c>
    </row>
    <row r="4318" spans="1:12" x14ac:dyDescent="0.15">
      <c r="A4318" s="1" t="s">
        <v>908</v>
      </c>
      <c r="B4318" s="1" t="s">
        <v>483</v>
      </c>
      <c r="D4318" s="1" t="s">
        <v>1569</v>
      </c>
      <c r="E4318" s="1" t="s">
        <v>2163</v>
      </c>
      <c r="F4318" s="3">
        <v>0</v>
      </c>
      <c r="G4318" s="8" t="s">
        <v>2773</v>
      </c>
      <c r="H4318" s="8" t="s">
        <v>5159</v>
      </c>
      <c r="I4318" s="3">
        <v>25</v>
      </c>
      <c r="J4318" s="3" t="s">
        <v>6358</v>
      </c>
      <c r="K4318" s="17" t="str">
        <f>HYPERLINK("http://ictvonline.org/taxonomyHistory.asp?taxnode_id=20174731","ICTVonline=20174731")</f>
        <v>ICTVonline=20174731</v>
      </c>
      <c r="L4318" s="3">
        <v>4317</v>
      </c>
    </row>
    <row r="4319" spans="1:12" x14ac:dyDescent="0.15">
      <c r="A4319" s="1" t="s">
        <v>908</v>
      </c>
      <c r="B4319" s="1" t="s">
        <v>483</v>
      </c>
      <c r="D4319" s="1" t="s">
        <v>1569</v>
      </c>
      <c r="E4319" s="1" t="s">
        <v>1572</v>
      </c>
      <c r="F4319" s="3">
        <v>1</v>
      </c>
      <c r="G4319" s="8" t="s">
        <v>2773</v>
      </c>
      <c r="H4319" s="8" t="s">
        <v>5165</v>
      </c>
      <c r="I4319" s="3">
        <v>17</v>
      </c>
      <c r="J4319" s="3" t="s">
        <v>5970</v>
      </c>
      <c r="K4319" s="17" t="str">
        <f>HYPERLINK("http://ictvonline.org/taxonomyHistory.asp?taxnode_id=20174732","ICTVonline=20174732")</f>
        <v>ICTVonline=20174732</v>
      </c>
      <c r="L4319" s="3">
        <v>4318</v>
      </c>
    </row>
    <row r="4320" spans="1:12" x14ac:dyDescent="0.15">
      <c r="A4320" s="1" t="s">
        <v>908</v>
      </c>
      <c r="B4320" s="1" t="s">
        <v>483</v>
      </c>
      <c r="D4320" s="1" t="s">
        <v>1569</v>
      </c>
      <c r="E4320" s="1" t="s">
        <v>6377</v>
      </c>
      <c r="F4320" s="3">
        <v>0</v>
      </c>
      <c r="G4320" s="8" t="s">
        <v>2773</v>
      </c>
      <c r="H4320" s="8" t="s">
        <v>5162</v>
      </c>
      <c r="I4320" s="3">
        <v>32</v>
      </c>
      <c r="J4320" s="3" t="s">
        <v>5564</v>
      </c>
      <c r="K4320" s="17" t="str">
        <f>HYPERLINK("http://ictvonline.org/taxonomyHistory.asp?taxnode_id=20174733","ICTVonline=20174733")</f>
        <v>ICTVonline=20174733</v>
      </c>
      <c r="L4320" s="3">
        <v>4319</v>
      </c>
    </row>
    <row r="4321" spans="1:12" x14ac:dyDescent="0.15">
      <c r="A4321" s="1" t="s">
        <v>908</v>
      </c>
      <c r="B4321" s="1" t="s">
        <v>483</v>
      </c>
      <c r="D4321" s="1" t="s">
        <v>908</v>
      </c>
      <c r="E4321" s="1" t="s">
        <v>496</v>
      </c>
      <c r="F4321" s="3">
        <v>0</v>
      </c>
      <c r="G4321" s="8" t="s">
        <v>2773</v>
      </c>
      <c r="H4321" s="8" t="s">
        <v>5159</v>
      </c>
      <c r="I4321" s="3">
        <v>22</v>
      </c>
      <c r="J4321" s="3" t="s">
        <v>6345</v>
      </c>
      <c r="K4321" s="17" t="str">
        <f>HYPERLINK("http://ictvonline.org/taxonomyHistory.asp?taxnode_id=20174736","ICTVonline=20174736")</f>
        <v>ICTVonline=20174736</v>
      </c>
      <c r="L4321" s="3">
        <v>4320</v>
      </c>
    </row>
    <row r="4322" spans="1:12" x14ac:dyDescent="0.15">
      <c r="A4322" s="1" t="s">
        <v>908</v>
      </c>
      <c r="B4322" s="1" t="s">
        <v>2098</v>
      </c>
      <c r="C4322" s="1" t="s">
        <v>2099</v>
      </c>
      <c r="D4322" s="1" t="s">
        <v>2100</v>
      </c>
      <c r="E4322" s="1" t="s">
        <v>501</v>
      </c>
      <c r="F4322" s="3">
        <v>0</v>
      </c>
      <c r="G4322" s="8" t="s">
        <v>2771</v>
      </c>
      <c r="H4322" s="8" t="s">
        <v>5162</v>
      </c>
      <c r="I4322" s="3">
        <v>12</v>
      </c>
      <c r="J4322" s="3" t="s">
        <v>6080</v>
      </c>
      <c r="K4322" s="17" t="str">
        <f>HYPERLINK("http://ictvonline.org/taxonomyHistory.asp?taxnode_id=20174740","ICTVonline=20174740")</f>
        <v>ICTVonline=20174740</v>
      </c>
      <c r="L4322" s="3">
        <v>4321</v>
      </c>
    </row>
    <row r="4323" spans="1:12" x14ac:dyDescent="0.15">
      <c r="A4323" s="1" t="s">
        <v>908</v>
      </c>
      <c r="B4323" s="1" t="s">
        <v>2098</v>
      </c>
      <c r="C4323" s="1" t="s">
        <v>2099</v>
      </c>
      <c r="D4323" s="1" t="s">
        <v>2100</v>
      </c>
      <c r="E4323" s="1" t="s">
        <v>502</v>
      </c>
      <c r="F4323" s="3">
        <v>1</v>
      </c>
      <c r="G4323" s="8" t="s">
        <v>2771</v>
      </c>
      <c r="H4323" s="8" t="s">
        <v>5161</v>
      </c>
      <c r="I4323" s="3">
        <v>5</v>
      </c>
      <c r="J4323" s="3" t="s">
        <v>6378</v>
      </c>
      <c r="K4323" s="17" t="str">
        <f>HYPERLINK("http://ictvonline.org/taxonomyHistory.asp?taxnode_id=20174741","ICTVonline=20174741")</f>
        <v>ICTVonline=20174741</v>
      </c>
      <c r="L4323" s="3">
        <v>4322</v>
      </c>
    </row>
    <row r="4324" spans="1:12" x14ac:dyDescent="0.15">
      <c r="A4324" s="1" t="s">
        <v>908</v>
      </c>
      <c r="B4324" s="1" t="s">
        <v>2098</v>
      </c>
      <c r="C4324" s="1" t="s">
        <v>2099</v>
      </c>
      <c r="D4324" s="1" t="s">
        <v>2100</v>
      </c>
      <c r="E4324" s="1" t="s">
        <v>503</v>
      </c>
      <c r="F4324" s="3">
        <v>0</v>
      </c>
      <c r="G4324" s="8" t="s">
        <v>2771</v>
      </c>
      <c r="H4324" s="8" t="s">
        <v>5162</v>
      </c>
      <c r="I4324" s="3">
        <v>12</v>
      </c>
      <c r="J4324" s="3" t="s">
        <v>6080</v>
      </c>
      <c r="K4324" s="17" t="str">
        <f>HYPERLINK("http://ictvonline.org/taxonomyHistory.asp?taxnode_id=20174742","ICTVonline=20174742")</f>
        <v>ICTVonline=20174742</v>
      </c>
      <c r="L4324" s="3">
        <v>4323</v>
      </c>
    </row>
    <row r="4325" spans="1:12" x14ac:dyDescent="0.15">
      <c r="A4325" s="1" t="s">
        <v>908</v>
      </c>
      <c r="B4325" s="1" t="s">
        <v>2098</v>
      </c>
      <c r="C4325" s="1" t="s">
        <v>2099</v>
      </c>
      <c r="D4325" s="1" t="s">
        <v>2100</v>
      </c>
      <c r="E4325" s="1" t="s">
        <v>504</v>
      </c>
      <c r="F4325" s="3">
        <v>0</v>
      </c>
      <c r="G4325" s="8" t="s">
        <v>2771</v>
      </c>
      <c r="H4325" s="8" t="s">
        <v>5159</v>
      </c>
      <c r="I4325" s="3">
        <v>14</v>
      </c>
      <c r="J4325" s="3" t="s">
        <v>6027</v>
      </c>
      <c r="K4325" s="17" t="str">
        <f>HYPERLINK("http://ictvonline.org/taxonomyHistory.asp?taxnode_id=20174743","ICTVonline=20174743")</f>
        <v>ICTVonline=20174743</v>
      </c>
      <c r="L4325" s="3">
        <v>4324</v>
      </c>
    </row>
    <row r="4326" spans="1:12" x14ac:dyDescent="0.15">
      <c r="A4326" s="1" t="s">
        <v>908</v>
      </c>
      <c r="B4326" s="1" t="s">
        <v>2098</v>
      </c>
      <c r="C4326" s="1" t="s">
        <v>2099</v>
      </c>
      <c r="D4326" s="1" t="s">
        <v>2100</v>
      </c>
      <c r="E4326" s="1" t="s">
        <v>505</v>
      </c>
      <c r="F4326" s="3">
        <v>0</v>
      </c>
      <c r="G4326" s="8" t="s">
        <v>2771</v>
      </c>
      <c r="H4326" s="8" t="s">
        <v>5162</v>
      </c>
      <c r="I4326" s="3">
        <v>12</v>
      </c>
      <c r="J4326" s="3" t="s">
        <v>6080</v>
      </c>
      <c r="K4326" s="17" t="str">
        <f>HYPERLINK("http://ictvonline.org/taxonomyHistory.asp?taxnode_id=20174744","ICTVonline=20174744")</f>
        <v>ICTVonline=20174744</v>
      </c>
      <c r="L4326" s="3">
        <v>4325</v>
      </c>
    </row>
    <row r="4327" spans="1:12" x14ac:dyDescent="0.15">
      <c r="A4327" s="1" t="s">
        <v>908</v>
      </c>
      <c r="B4327" s="1" t="s">
        <v>2098</v>
      </c>
      <c r="C4327" s="1" t="s">
        <v>2099</v>
      </c>
      <c r="D4327" s="1" t="s">
        <v>2100</v>
      </c>
      <c r="E4327" s="1" t="s">
        <v>506</v>
      </c>
      <c r="F4327" s="3">
        <v>0</v>
      </c>
      <c r="G4327" s="8" t="s">
        <v>2771</v>
      </c>
      <c r="H4327" s="8" t="s">
        <v>5159</v>
      </c>
      <c r="I4327" s="3">
        <v>12</v>
      </c>
      <c r="J4327" s="3" t="s">
        <v>6080</v>
      </c>
      <c r="K4327" s="17" t="str">
        <f>HYPERLINK("http://ictvonline.org/taxonomyHistory.asp?taxnode_id=20174745","ICTVonline=20174745")</f>
        <v>ICTVonline=20174745</v>
      </c>
      <c r="L4327" s="3">
        <v>4326</v>
      </c>
    </row>
    <row r="4328" spans="1:12" x14ac:dyDescent="0.15">
      <c r="A4328" s="1" t="s">
        <v>908</v>
      </c>
      <c r="B4328" s="1" t="s">
        <v>2098</v>
      </c>
      <c r="C4328" s="1" t="s">
        <v>2099</v>
      </c>
      <c r="D4328" s="1" t="s">
        <v>2100</v>
      </c>
      <c r="E4328" s="1" t="s">
        <v>507</v>
      </c>
      <c r="F4328" s="3">
        <v>0</v>
      </c>
      <c r="G4328" s="8" t="s">
        <v>2771</v>
      </c>
      <c r="H4328" s="8" t="s">
        <v>5162</v>
      </c>
      <c r="I4328" s="3">
        <v>12</v>
      </c>
      <c r="J4328" s="3" t="s">
        <v>6080</v>
      </c>
      <c r="K4328" s="17" t="str">
        <f>HYPERLINK("http://ictvonline.org/taxonomyHistory.asp?taxnode_id=20174746","ICTVonline=20174746")</f>
        <v>ICTVonline=20174746</v>
      </c>
      <c r="L4328" s="3">
        <v>4327</v>
      </c>
    </row>
    <row r="4329" spans="1:12" x14ac:dyDescent="0.15">
      <c r="A4329" s="1" t="s">
        <v>908</v>
      </c>
      <c r="B4329" s="1" t="s">
        <v>2098</v>
      </c>
      <c r="C4329" s="1" t="s">
        <v>2099</v>
      </c>
      <c r="D4329" s="1" t="s">
        <v>2100</v>
      </c>
      <c r="E4329" s="1" t="s">
        <v>508</v>
      </c>
      <c r="F4329" s="3">
        <v>0</v>
      </c>
      <c r="G4329" s="8" t="s">
        <v>2771</v>
      </c>
      <c r="H4329" s="8" t="s">
        <v>5162</v>
      </c>
      <c r="I4329" s="3">
        <v>12</v>
      </c>
      <c r="J4329" s="3" t="s">
        <v>6080</v>
      </c>
      <c r="K4329" s="17" t="str">
        <f>HYPERLINK("http://ictvonline.org/taxonomyHistory.asp?taxnode_id=20174747","ICTVonline=20174747")</f>
        <v>ICTVonline=20174747</v>
      </c>
      <c r="L4329" s="3">
        <v>4328</v>
      </c>
    </row>
    <row r="4330" spans="1:12" x14ac:dyDescent="0.15">
      <c r="A4330" s="1" t="s">
        <v>908</v>
      </c>
      <c r="B4330" s="1" t="s">
        <v>2098</v>
      </c>
      <c r="C4330" s="1" t="s">
        <v>2099</v>
      </c>
      <c r="D4330" s="1" t="s">
        <v>2100</v>
      </c>
      <c r="E4330" s="1" t="s">
        <v>509</v>
      </c>
      <c r="F4330" s="3">
        <v>0</v>
      </c>
      <c r="G4330" s="8" t="s">
        <v>2771</v>
      </c>
      <c r="H4330" s="8" t="s">
        <v>5162</v>
      </c>
      <c r="I4330" s="3">
        <v>12</v>
      </c>
      <c r="J4330" s="3" t="s">
        <v>6080</v>
      </c>
      <c r="K4330" s="17" t="str">
        <f>HYPERLINK("http://ictvonline.org/taxonomyHistory.asp?taxnode_id=20174748","ICTVonline=20174748")</f>
        <v>ICTVonline=20174748</v>
      </c>
      <c r="L4330" s="3">
        <v>4329</v>
      </c>
    </row>
    <row r="4331" spans="1:12" x14ac:dyDescent="0.15">
      <c r="A4331" s="1" t="s">
        <v>908</v>
      </c>
      <c r="B4331" s="1" t="s">
        <v>2098</v>
      </c>
      <c r="C4331" s="1" t="s">
        <v>2099</v>
      </c>
      <c r="D4331" s="1" t="s">
        <v>2100</v>
      </c>
      <c r="E4331" s="1" t="s">
        <v>510</v>
      </c>
      <c r="F4331" s="3">
        <v>0</v>
      </c>
      <c r="G4331" s="8" t="s">
        <v>2771</v>
      </c>
      <c r="H4331" s="8" t="s">
        <v>5162</v>
      </c>
      <c r="I4331" s="3">
        <v>12</v>
      </c>
      <c r="J4331" s="3" t="s">
        <v>6080</v>
      </c>
      <c r="K4331" s="17" t="str">
        <f>HYPERLINK("http://ictvonline.org/taxonomyHistory.asp?taxnode_id=20174749","ICTVonline=20174749")</f>
        <v>ICTVonline=20174749</v>
      </c>
      <c r="L4331" s="3">
        <v>4330</v>
      </c>
    </row>
    <row r="4332" spans="1:12" x14ac:dyDescent="0.15">
      <c r="A4332" s="1" t="s">
        <v>908</v>
      </c>
      <c r="B4332" s="1" t="s">
        <v>2098</v>
      </c>
      <c r="C4332" s="1" t="s">
        <v>2099</v>
      </c>
      <c r="D4332" s="1" t="s">
        <v>511</v>
      </c>
      <c r="E4332" s="1" t="s">
        <v>1580</v>
      </c>
      <c r="F4332" s="3">
        <v>0</v>
      </c>
      <c r="G4332" s="8" t="s">
        <v>2771</v>
      </c>
      <c r="H4332" s="8" t="s">
        <v>5162</v>
      </c>
      <c r="I4332" s="3">
        <v>12</v>
      </c>
      <c r="J4332" s="3" t="s">
        <v>6080</v>
      </c>
      <c r="K4332" s="17" t="str">
        <f>HYPERLINK("http://ictvonline.org/taxonomyHistory.asp?taxnode_id=20174751","ICTVonline=20174751")</f>
        <v>ICTVonline=20174751</v>
      </c>
      <c r="L4332" s="3">
        <v>4331</v>
      </c>
    </row>
    <row r="4333" spans="1:12" x14ac:dyDescent="0.15">
      <c r="A4333" s="1" t="s">
        <v>908</v>
      </c>
      <c r="B4333" s="1" t="s">
        <v>2098</v>
      </c>
      <c r="C4333" s="1" t="s">
        <v>2099</v>
      </c>
      <c r="D4333" s="1" t="s">
        <v>511</v>
      </c>
      <c r="E4333" s="1" t="s">
        <v>1581</v>
      </c>
      <c r="F4333" s="3">
        <v>0</v>
      </c>
      <c r="G4333" s="8" t="s">
        <v>2771</v>
      </c>
      <c r="H4333" s="8" t="s">
        <v>5161</v>
      </c>
      <c r="I4333" s="3">
        <v>5</v>
      </c>
      <c r="J4333" s="3" t="s">
        <v>6378</v>
      </c>
      <c r="K4333" s="17" t="str">
        <f>HYPERLINK("http://ictvonline.org/taxonomyHistory.asp?taxnode_id=20174752","ICTVonline=20174752")</f>
        <v>ICTVonline=20174752</v>
      </c>
      <c r="L4333" s="3">
        <v>4332</v>
      </c>
    </row>
    <row r="4334" spans="1:12" x14ac:dyDescent="0.15">
      <c r="A4334" s="1" t="s">
        <v>908</v>
      </c>
      <c r="B4334" s="1" t="s">
        <v>2098</v>
      </c>
      <c r="C4334" s="1" t="s">
        <v>2099</v>
      </c>
      <c r="D4334" s="1" t="s">
        <v>511</v>
      </c>
      <c r="E4334" s="1" t="s">
        <v>1582</v>
      </c>
      <c r="F4334" s="3">
        <v>1</v>
      </c>
      <c r="G4334" s="8" t="s">
        <v>2771</v>
      </c>
      <c r="H4334" s="8" t="s">
        <v>5162</v>
      </c>
      <c r="I4334" s="3">
        <v>12</v>
      </c>
      <c r="J4334" s="3" t="s">
        <v>6080</v>
      </c>
      <c r="K4334" s="17" t="str">
        <f>HYPERLINK("http://ictvonline.org/taxonomyHistory.asp?taxnode_id=20174753","ICTVonline=20174753")</f>
        <v>ICTVonline=20174753</v>
      </c>
      <c r="L4334" s="3">
        <v>4333</v>
      </c>
    </row>
    <row r="4335" spans="1:12" x14ac:dyDescent="0.15">
      <c r="A4335" s="1" t="s">
        <v>908</v>
      </c>
      <c r="B4335" s="1" t="s">
        <v>2098</v>
      </c>
      <c r="C4335" s="1" t="s">
        <v>2099</v>
      </c>
      <c r="D4335" s="1" t="s">
        <v>5061</v>
      </c>
      <c r="E4335" s="1" t="s">
        <v>5062</v>
      </c>
      <c r="F4335" s="3">
        <v>1</v>
      </c>
      <c r="G4335" s="8" t="s">
        <v>2771</v>
      </c>
      <c r="H4335" s="8" t="s">
        <v>5159</v>
      </c>
      <c r="I4335" s="3">
        <v>31</v>
      </c>
      <c r="J4335" s="3" t="s">
        <v>6379</v>
      </c>
      <c r="K4335" s="17" t="str">
        <f>HYPERLINK("http://ictvonline.org/taxonomyHistory.asp?taxnode_id=20174755","ICTVonline=20174755")</f>
        <v>ICTVonline=20174755</v>
      </c>
      <c r="L4335" s="3">
        <v>4334</v>
      </c>
    </row>
    <row r="4336" spans="1:12" x14ac:dyDescent="0.15">
      <c r="A4336" s="1" t="s">
        <v>908</v>
      </c>
      <c r="B4336" s="1" t="s">
        <v>2098</v>
      </c>
      <c r="C4336" s="1" t="s">
        <v>2099</v>
      </c>
      <c r="D4336" s="1" t="s">
        <v>1583</v>
      </c>
      <c r="E4336" s="1" t="s">
        <v>201</v>
      </c>
      <c r="F4336" s="3">
        <v>1</v>
      </c>
      <c r="G4336" s="8" t="s">
        <v>2771</v>
      </c>
      <c r="H4336" s="8" t="s">
        <v>5162</v>
      </c>
      <c r="I4336" s="3">
        <v>26</v>
      </c>
      <c r="J4336" s="3" t="s">
        <v>6380</v>
      </c>
      <c r="K4336" s="17" t="str">
        <f>HYPERLINK("http://ictvonline.org/taxonomyHistory.asp?taxnode_id=20174757","ICTVonline=20174757")</f>
        <v>ICTVonline=20174757</v>
      </c>
      <c r="L4336" s="3">
        <v>4335</v>
      </c>
    </row>
    <row r="4337" spans="1:12" x14ac:dyDescent="0.15">
      <c r="A4337" s="1" t="s">
        <v>908</v>
      </c>
      <c r="B4337" s="1" t="s">
        <v>2098</v>
      </c>
      <c r="C4337" s="1" t="s">
        <v>2099</v>
      </c>
      <c r="D4337" s="1" t="s">
        <v>202</v>
      </c>
      <c r="E4337" s="1" t="s">
        <v>203</v>
      </c>
      <c r="F4337" s="3">
        <v>1</v>
      </c>
      <c r="G4337" s="8" t="s">
        <v>2771</v>
      </c>
      <c r="H4337" s="8" t="s">
        <v>5164</v>
      </c>
      <c r="I4337" s="3">
        <v>26</v>
      </c>
      <c r="J4337" s="3" t="s">
        <v>6381</v>
      </c>
      <c r="K4337" s="17" t="str">
        <f>HYPERLINK("http://ictvonline.org/taxonomyHistory.asp?taxnode_id=20174759","ICTVonline=20174759")</f>
        <v>ICTVonline=20174759</v>
      </c>
      <c r="L4337" s="3">
        <v>4336</v>
      </c>
    </row>
    <row r="4338" spans="1:12" x14ac:dyDescent="0.15">
      <c r="A4338" s="1" t="s">
        <v>908</v>
      </c>
      <c r="B4338" s="1" t="s">
        <v>2098</v>
      </c>
      <c r="C4338" s="1" t="s">
        <v>2099</v>
      </c>
      <c r="D4338" s="1" t="s">
        <v>498</v>
      </c>
      <c r="E4338" s="1" t="s">
        <v>499</v>
      </c>
      <c r="F4338" s="3">
        <v>0</v>
      </c>
      <c r="G4338" s="8" t="s">
        <v>2771</v>
      </c>
      <c r="H4338" s="8" t="s">
        <v>5161</v>
      </c>
      <c r="I4338" s="3">
        <v>5</v>
      </c>
      <c r="J4338" s="3" t="s">
        <v>6378</v>
      </c>
      <c r="K4338" s="17" t="str">
        <f>HYPERLINK("http://ictvonline.org/taxonomyHistory.asp?taxnode_id=20174761","ICTVonline=20174761")</f>
        <v>ICTVonline=20174761</v>
      </c>
      <c r="L4338" s="3">
        <v>4337</v>
      </c>
    </row>
    <row r="4339" spans="1:12" x14ac:dyDescent="0.15">
      <c r="A4339" s="1" t="s">
        <v>908</v>
      </c>
      <c r="B4339" s="1" t="s">
        <v>2098</v>
      </c>
      <c r="C4339" s="1" t="s">
        <v>2099</v>
      </c>
      <c r="D4339" s="1" t="s">
        <v>498</v>
      </c>
      <c r="E4339" s="1" t="s">
        <v>500</v>
      </c>
      <c r="F4339" s="3">
        <v>1</v>
      </c>
      <c r="G4339" s="8" t="s">
        <v>2771</v>
      </c>
      <c r="H4339" s="8" t="s">
        <v>5161</v>
      </c>
      <c r="I4339" s="3">
        <v>5</v>
      </c>
      <c r="J4339" s="3" t="s">
        <v>6378</v>
      </c>
      <c r="K4339" s="17" t="str">
        <f>HYPERLINK("http://ictvonline.org/taxonomyHistory.asp?taxnode_id=20174762","ICTVonline=20174762")</f>
        <v>ICTVonline=20174762</v>
      </c>
      <c r="L4339" s="3">
        <v>4338</v>
      </c>
    </row>
    <row r="4340" spans="1:12" x14ac:dyDescent="0.15">
      <c r="A4340" s="1" t="s">
        <v>908</v>
      </c>
      <c r="B4340" s="1" t="s">
        <v>2098</v>
      </c>
      <c r="C4340" s="1" t="s">
        <v>2099</v>
      </c>
      <c r="D4340" s="1" t="s">
        <v>498</v>
      </c>
      <c r="E4340" s="1" t="s">
        <v>493</v>
      </c>
      <c r="F4340" s="3">
        <v>0</v>
      </c>
      <c r="G4340" s="8" t="s">
        <v>2771</v>
      </c>
      <c r="H4340" s="8" t="s">
        <v>5162</v>
      </c>
      <c r="I4340" s="3">
        <v>14</v>
      </c>
      <c r="J4340" s="3" t="s">
        <v>6027</v>
      </c>
      <c r="K4340" s="17" t="str">
        <f>HYPERLINK("http://ictvonline.org/taxonomyHistory.asp?taxnode_id=20174763","ICTVonline=20174763")</f>
        <v>ICTVonline=20174763</v>
      </c>
      <c r="L4340" s="3">
        <v>4339</v>
      </c>
    </row>
    <row r="4341" spans="1:12" x14ac:dyDescent="0.15">
      <c r="A4341" s="1" t="s">
        <v>908</v>
      </c>
      <c r="B4341" s="1" t="s">
        <v>2098</v>
      </c>
      <c r="C4341" s="1" t="s">
        <v>2099</v>
      </c>
      <c r="D4341" s="1" t="s">
        <v>498</v>
      </c>
      <c r="E4341" s="1" t="s">
        <v>494</v>
      </c>
      <c r="F4341" s="3">
        <v>0</v>
      </c>
      <c r="G4341" s="8" t="s">
        <v>2771</v>
      </c>
      <c r="H4341" s="8" t="s">
        <v>5161</v>
      </c>
      <c r="I4341" s="3">
        <v>5</v>
      </c>
      <c r="J4341" s="3" t="s">
        <v>6378</v>
      </c>
      <c r="K4341" s="17" t="str">
        <f>HYPERLINK("http://ictvonline.org/taxonomyHistory.asp?taxnode_id=20174764","ICTVonline=20174764")</f>
        <v>ICTVonline=20174764</v>
      </c>
      <c r="L4341" s="3">
        <v>4340</v>
      </c>
    </row>
    <row r="4342" spans="1:12" x14ac:dyDescent="0.15">
      <c r="A4342" s="1" t="s">
        <v>908</v>
      </c>
      <c r="B4342" s="1" t="s">
        <v>2098</v>
      </c>
      <c r="C4342" s="1" t="s">
        <v>2099</v>
      </c>
      <c r="D4342" s="1" t="s">
        <v>495</v>
      </c>
      <c r="E4342" s="1" t="s">
        <v>1947</v>
      </c>
      <c r="F4342" s="3">
        <v>1</v>
      </c>
      <c r="G4342" s="8" t="s">
        <v>2771</v>
      </c>
      <c r="H4342" s="8" t="s">
        <v>5165</v>
      </c>
      <c r="I4342" s="3">
        <v>11</v>
      </c>
      <c r="J4342" s="3" t="s">
        <v>6382</v>
      </c>
      <c r="K4342" s="17" t="str">
        <f>HYPERLINK("http://ictvonline.org/taxonomyHistory.asp?taxnode_id=20174766","ICTVonline=20174766")</f>
        <v>ICTVonline=20174766</v>
      </c>
      <c r="L4342" s="3">
        <v>4341</v>
      </c>
    </row>
    <row r="4343" spans="1:12" x14ac:dyDescent="0.15">
      <c r="A4343" s="1" t="s">
        <v>908</v>
      </c>
      <c r="B4343" s="1" t="s">
        <v>2098</v>
      </c>
      <c r="C4343" s="1" t="s">
        <v>2099</v>
      </c>
      <c r="D4343" s="1" t="s">
        <v>1229</v>
      </c>
      <c r="E4343" s="1" t="s">
        <v>1230</v>
      </c>
      <c r="F4343" s="3">
        <v>0</v>
      </c>
      <c r="G4343" s="8" t="s">
        <v>2771</v>
      </c>
      <c r="H4343" s="8" t="s">
        <v>5162</v>
      </c>
      <c r="I4343" s="3">
        <v>6</v>
      </c>
      <c r="J4343" s="3" t="s">
        <v>6383</v>
      </c>
      <c r="K4343" s="17" t="str">
        <f>HYPERLINK("http://ictvonline.org/taxonomyHistory.asp?taxnode_id=20174768","ICTVonline=20174768")</f>
        <v>ICTVonline=20174768</v>
      </c>
      <c r="L4343" s="3">
        <v>4342</v>
      </c>
    </row>
    <row r="4344" spans="1:12" x14ac:dyDescent="0.15">
      <c r="A4344" s="1" t="s">
        <v>908</v>
      </c>
      <c r="B4344" s="1" t="s">
        <v>2098</v>
      </c>
      <c r="C4344" s="1" t="s">
        <v>2099</v>
      </c>
      <c r="D4344" s="1" t="s">
        <v>1229</v>
      </c>
      <c r="E4344" s="1" t="s">
        <v>1231</v>
      </c>
      <c r="F4344" s="3">
        <v>0</v>
      </c>
      <c r="G4344" s="8" t="s">
        <v>2771</v>
      </c>
      <c r="H4344" s="8" t="s">
        <v>5161</v>
      </c>
      <c r="I4344" s="3">
        <v>5</v>
      </c>
      <c r="J4344" s="3" t="s">
        <v>6378</v>
      </c>
      <c r="K4344" s="17" t="str">
        <f>HYPERLINK("http://ictvonline.org/taxonomyHistory.asp?taxnode_id=20174769","ICTVonline=20174769")</f>
        <v>ICTVonline=20174769</v>
      </c>
      <c r="L4344" s="3">
        <v>4343</v>
      </c>
    </row>
    <row r="4345" spans="1:12" x14ac:dyDescent="0.15">
      <c r="A4345" s="1" t="s">
        <v>908</v>
      </c>
      <c r="B4345" s="1" t="s">
        <v>2098</v>
      </c>
      <c r="C4345" s="1" t="s">
        <v>2099</v>
      </c>
      <c r="D4345" s="1" t="s">
        <v>1229</v>
      </c>
      <c r="E4345" s="1" t="s">
        <v>1232</v>
      </c>
      <c r="F4345" s="3">
        <v>0</v>
      </c>
      <c r="G4345" s="8" t="s">
        <v>2771</v>
      </c>
      <c r="H4345" s="8" t="s">
        <v>5161</v>
      </c>
      <c r="I4345" s="3">
        <v>5</v>
      </c>
      <c r="J4345" s="3" t="s">
        <v>6378</v>
      </c>
      <c r="K4345" s="17" t="str">
        <f>HYPERLINK("http://ictvonline.org/taxonomyHistory.asp?taxnode_id=20174770","ICTVonline=20174770")</f>
        <v>ICTVonline=20174770</v>
      </c>
      <c r="L4345" s="3">
        <v>4344</v>
      </c>
    </row>
    <row r="4346" spans="1:12" x14ac:dyDescent="0.15">
      <c r="A4346" s="1" t="s">
        <v>908</v>
      </c>
      <c r="B4346" s="1" t="s">
        <v>2098</v>
      </c>
      <c r="C4346" s="1" t="s">
        <v>2099</v>
      </c>
      <c r="D4346" s="1" t="s">
        <v>1229</v>
      </c>
      <c r="E4346" s="1" t="s">
        <v>1233</v>
      </c>
      <c r="F4346" s="3">
        <v>0</v>
      </c>
      <c r="G4346" s="8" t="s">
        <v>2771</v>
      </c>
      <c r="H4346" s="8" t="s">
        <v>5161</v>
      </c>
      <c r="I4346" s="3">
        <v>5</v>
      </c>
      <c r="J4346" s="3" t="s">
        <v>6378</v>
      </c>
      <c r="K4346" s="17" t="str">
        <f>HYPERLINK("http://ictvonline.org/taxonomyHistory.asp?taxnode_id=20174771","ICTVonline=20174771")</f>
        <v>ICTVonline=20174771</v>
      </c>
      <c r="L4346" s="3">
        <v>4345</v>
      </c>
    </row>
    <row r="4347" spans="1:12" x14ac:dyDescent="0.15">
      <c r="A4347" s="1" t="s">
        <v>908</v>
      </c>
      <c r="B4347" s="1" t="s">
        <v>2098</v>
      </c>
      <c r="C4347" s="1" t="s">
        <v>2099</v>
      </c>
      <c r="D4347" s="1" t="s">
        <v>1229</v>
      </c>
      <c r="E4347" s="1" t="s">
        <v>1234</v>
      </c>
      <c r="F4347" s="3">
        <v>0</v>
      </c>
      <c r="G4347" s="8" t="s">
        <v>2771</v>
      </c>
      <c r="H4347" s="8" t="s">
        <v>5161</v>
      </c>
      <c r="I4347" s="3">
        <v>12</v>
      </c>
      <c r="J4347" s="3" t="s">
        <v>6080</v>
      </c>
      <c r="K4347" s="17" t="str">
        <f>HYPERLINK("http://ictvonline.org/taxonomyHistory.asp?taxnode_id=20174772","ICTVonline=20174772")</f>
        <v>ICTVonline=20174772</v>
      </c>
      <c r="L4347" s="3">
        <v>4346</v>
      </c>
    </row>
    <row r="4348" spans="1:12" x14ac:dyDescent="0.15">
      <c r="A4348" s="1" t="s">
        <v>908</v>
      </c>
      <c r="B4348" s="1" t="s">
        <v>2098</v>
      </c>
      <c r="C4348" s="1" t="s">
        <v>2099</v>
      </c>
      <c r="D4348" s="1" t="s">
        <v>1229</v>
      </c>
      <c r="E4348" s="1" t="s">
        <v>204</v>
      </c>
      <c r="F4348" s="3">
        <v>0</v>
      </c>
      <c r="G4348" s="8" t="s">
        <v>2771</v>
      </c>
      <c r="H4348" s="8" t="s">
        <v>5159</v>
      </c>
      <c r="I4348" s="3">
        <v>26</v>
      </c>
      <c r="J4348" s="3" t="s">
        <v>6381</v>
      </c>
      <c r="K4348" s="17" t="str">
        <f>HYPERLINK("http://ictvonline.org/taxonomyHistory.asp?taxnode_id=20174773","ICTVonline=20174773")</f>
        <v>ICTVonline=20174773</v>
      </c>
      <c r="L4348" s="3">
        <v>4347</v>
      </c>
    </row>
    <row r="4349" spans="1:12" x14ac:dyDescent="0.15">
      <c r="A4349" s="1" t="s">
        <v>908</v>
      </c>
      <c r="B4349" s="1" t="s">
        <v>2098</v>
      </c>
      <c r="C4349" s="1" t="s">
        <v>2099</v>
      </c>
      <c r="D4349" s="1" t="s">
        <v>1229</v>
      </c>
      <c r="E4349" s="1" t="s">
        <v>1235</v>
      </c>
      <c r="F4349" s="3">
        <v>0</v>
      </c>
      <c r="G4349" s="8" t="s">
        <v>2771</v>
      </c>
      <c r="H4349" s="8" t="s">
        <v>5159</v>
      </c>
      <c r="I4349" s="3">
        <v>12</v>
      </c>
      <c r="J4349" s="3" t="s">
        <v>6080</v>
      </c>
      <c r="K4349" s="17" t="str">
        <f>HYPERLINK("http://ictvonline.org/taxonomyHistory.asp?taxnode_id=20174774","ICTVonline=20174774")</f>
        <v>ICTVonline=20174774</v>
      </c>
      <c r="L4349" s="3">
        <v>4348</v>
      </c>
    </row>
    <row r="4350" spans="1:12" x14ac:dyDescent="0.15">
      <c r="A4350" s="1" t="s">
        <v>908</v>
      </c>
      <c r="B4350" s="1" t="s">
        <v>2098</v>
      </c>
      <c r="C4350" s="1" t="s">
        <v>2099</v>
      </c>
      <c r="D4350" s="1" t="s">
        <v>1229</v>
      </c>
      <c r="E4350" s="1" t="s">
        <v>1236</v>
      </c>
      <c r="F4350" s="3">
        <v>1</v>
      </c>
      <c r="G4350" s="8" t="s">
        <v>2771</v>
      </c>
      <c r="H4350" s="8" t="s">
        <v>5172</v>
      </c>
      <c r="I4350" s="3">
        <v>12</v>
      </c>
      <c r="J4350" s="3" t="s">
        <v>6080</v>
      </c>
      <c r="K4350" s="17" t="str">
        <f>HYPERLINK("http://ictvonline.org/taxonomyHistory.asp?taxnode_id=20174775","ICTVonline=20174775")</f>
        <v>ICTVonline=20174775</v>
      </c>
      <c r="L4350" s="3">
        <v>4349</v>
      </c>
    </row>
    <row r="4351" spans="1:12" x14ac:dyDescent="0.15">
      <c r="A4351" s="1" t="s">
        <v>908</v>
      </c>
      <c r="B4351" s="1" t="s">
        <v>2098</v>
      </c>
      <c r="C4351" s="1" t="s">
        <v>2099</v>
      </c>
      <c r="D4351" s="1" t="s">
        <v>1229</v>
      </c>
      <c r="E4351" s="1" t="s">
        <v>1237</v>
      </c>
      <c r="F4351" s="3">
        <v>0</v>
      </c>
      <c r="G4351" s="8" t="s">
        <v>2771</v>
      </c>
      <c r="H4351" s="8" t="s">
        <v>5161</v>
      </c>
      <c r="I4351" s="3">
        <v>5</v>
      </c>
      <c r="J4351" s="3" t="s">
        <v>6378</v>
      </c>
      <c r="K4351" s="17" t="str">
        <f>HYPERLINK("http://ictvonline.org/taxonomyHistory.asp?taxnode_id=20174776","ICTVonline=20174776")</f>
        <v>ICTVonline=20174776</v>
      </c>
      <c r="L4351" s="3">
        <v>4350</v>
      </c>
    </row>
    <row r="4352" spans="1:12" x14ac:dyDescent="0.15">
      <c r="A4352" s="1" t="s">
        <v>908</v>
      </c>
      <c r="B4352" s="1" t="s">
        <v>2098</v>
      </c>
      <c r="C4352" s="1" t="s">
        <v>2099</v>
      </c>
      <c r="D4352" s="1" t="s">
        <v>1229</v>
      </c>
      <c r="E4352" s="1" t="s">
        <v>1238</v>
      </c>
      <c r="F4352" s="3">
        <v>0</v>
      </c>
      <c r="G4352" s="8" t="s">
        <v>2771</v>
      </c>
      <c r="H4352" s="8" t="s">
        <v>5159</v>
      </c>
      <c r="I4352" s="3">
        <v>14</v>
      </c>
      <c r="J4352" s="3" t="s">
        <v>6027</v>
      </c>
      <c r="K4352" s="17" t="str">
        <f>HYPERLINK("http://ictvonline.org/taxonomyHistory.asp?taxnode_id=20174777","ICTVonline=20174777")</f>
        <v>ICTVonline=20174777</v>
      </c>
      <c r="L4352" s="3">
        <v>4351</v>
      </c>
    </row>
    <row r="4353" spans="1:12" x14ac:dyDescent="0.15">
      <c r="A4353" s="1" t="s">
        <v>908</v>
      </c>
      <c r="B4353" s="1" t="s">
        <v>2098</v>
      </c>
      <c r="C4353" s="1" t="s">
        <v>2099</v>
      </c>
      <c r="D4353" s="1" t="s">
        <v>1239</v>
      </c>
      <c r="E4353" s="1" t="s">
        <v>1240</v>
      </c>
      <c r="F4353" s="3">
        <v>0</v>
      </c>
      <c r="G4353" s="8" t="s">
        <v>2771</v>
      </c>
      <c r="H4353" s="8" t="s">
        <v>5162</v>
      </c>
      <c r="I4353" s="3">
        <v>14</v>
      </c>
      <c r="J4353" s="3" t="s">
        <v>6027</v>
      </c>
      <c r="K4353" s="17" t="str">
        <f>HYPERLINK("http://ictvonline.org/taxonomyHistory.asp?taxnode_id=20174779","ICTVonline=20174779")</f>
        <v>ICTVonline=20174779</v>
      </c>
      <c r="L4353" s="3">
        <v>4352</v>
      </c>
    </row>
    <row r="4354" spans="1:12" x14ac:dyDescent="0.15">
      <c r="A4354" s="1" t="s">
        <v>908</v>
      </c>
      <c r="B4354" s="1" t="s">
        <v>2098</v>
      </c>
      <c r="C4354" s="1" t="s">
        <v>2099</v>
      </c>
      <c r="D4354" s="1" t="s">
        <v>1239</v>
      </c>
      <c r="E4354" s="1" t="s">
        <v>1241</v>
      </c>
      <c r="F4354" s="3">
        <v>1</v>
      </c>
      <c r="G4354" s="8" t="s">
        <v>2771</v>
      </c>
      <c r="H4354" s="8" t="s">
        <v>5161</v>
      </c>
      <c r="I4354" s="3">
        <v>5</v>
      </c>
      <c r="J4354" s="3" t="s">
        <v>6378</v>
      </c>
      <c r="K4354" s="17" t="str">
        <f>HYPERLINK("http://ictvonline.org/taxonomyHistory.asp?taxnode_id=20174780","ICTVonline=20174780")</f>
        <v>ICTVonline=20174780</v>
      </c>
      <c r="L4354" s="3">
        <v>4353</v>
      </c>
    </row>
    <row r="4355" spans="1:12" x14ac:dyDescent="0.15">
      <c r="A4355" s="1" t="s">
        <v>908</v>
      </c>
      <c r="B4355" s="1" t="s">
        <v>2098</v>
      </c>
      <c r="C4355" s="1" t="s">
        <v>2099</v>
      </c>
      <c r="D4355" s="1" t="s">
        <v>1239</v>
      </c>
      <c r="E4355" s="1" t="s">
        <v>1242</v>
      </c>
      <c r="F4355" s="3">
        <v>0</v>
      </c>
      <c r="G4355" s="8" t="s">
        <v>2771</v>
      </c>
      <c r="H4355" s="8" t="s">
        <v>5159</v>
      </c>
      <c r="I4355" s="3">
        <v>14</v>
      </c>
      <c r="J4355" s="3" t="s">
        <v>6027</v>
      </c>
      <c r="K4355" s="17" t="str">
        <f>HYPERLINK("http://ictvonline.org/taxonomyHistory.asp?taxnode_id=20174781","ICTVonline=20174781")</f>
        <v>ICTVonline=20174781</v>
      </c>
      <c r="L4355" s="3">
        <v>4354</v>
      </c>
    </row>
    <row r="4356" spans="1:12" x14ac:dyDescent="0.15">
      <c r="A4356" s="1" t="s">
        <v>908</v>
      </c>
      <c r="B4356" s="1" t="s">
        <v>2098</v>
      </c>
      <c r="C4356" s="1" t="s">
        <v>2099</v>
      </c>
      <c r="D4356" s="1" t="s">
        <v>1239</v>
      </c>
      <c r="E4356" s="1" t="s">
        <v>1243</v>
      </c>
      <c r="F4356" s="3">
        <v>0</v>
      </c>
      <c r="G4356" s="8" t="s">
        <v>2771</v>
      </c>
      <c r="H4356" s="8" t="s">
        <v>5162</v>
      </c>
      <c r="I4356" s="3">
        <v>12</v>
      </c>
      <c r="J4356" s="3" t="s">
        <v>6080</v>
      </c>
      <c r="K4356" s="17" t="str">
        <f>HYPERLINK("http://ictvonline.org/taxonomyHistory.asp?taxnode_id=20174782","ICTVonline=20174782")</f>
        <v>ICTVonline=20174782</v>
      </c>
      <c r="L4356" s="3">
        <v>4355</v>
      </c>
    </row>
    <row r="4357" spans="1:12" x14ac:dyDescent="0.15">
      <c r="A4357" s="1" t="s">
        <v>908</v>
      </c>
      <c r="B4357" s="1" t="s">
        <v>2098</v>
      </c>
      <c r="C4357" s="1" t="s">
        <v>2099</v>
      </c>
      <c r="D4357" s="1" t="s">
        <v>1244</v>
      </c>
      <c r="E4357" s="1" t="s">
        <v>1245</v>
      </c>
      <c r="F4357" s="3">
        <v>1</v>
      </c>
      <c r="G4357" s="8" t="s">
        <v>2771</v>
      </c>
      <c r="H4357" s="8" t="s">
        <v>5165</v>
      </c>
      <c r="I4357" s="3">
        <v>5</v>
      </c>
      <c r="J4357" s="3" t="s">
        <v>6378</v>
      </c>
      <c r="K4357" s="17" t="str">
        <f>HYPERLINK("http://ictvonline.org/taxonomyHistory.asp?taxnode_id=20174784","ICTVonline=20174784")</f>
        <v>ICTVonline=20174784</v>
      </c>
      <c r="L4357" s="3">
        <v>4356</v>
      </c>
    </row>
    <row r="4358" spans="1:12" x14ac:dyDescent="0.15">
      <c r="A4358" s="1" t="s">
        <v>908</v>
      </c>
      <c r="B4358" s="1" t="s">
        <v>2098</v>
      </c>
      <c r="C4358" s="1" t="s">
        <v>2099</v>
      </c>
      <c r="D4358" s="1" t="s">
        <v>908</v>
      </c>
      <c r="E4358" s="1" t="s">
        <v>5063</v>
      </c>
      <c r="F4358" s="3">
        <v>0</v>
      </c>
      <c r="G4358" s="8" t="s">
        <v>2771</v>
      </c>
      <c r="H4358" s="8" t="s">
        <v>5159</v>
      </c>
      <c r="I4358" s="3">
        <v>31</v>
      </c>
      <c r="J4358" s="3" t="s">
        <v>6384</v>
      </c>
      <c r="K4358" s="17" t="str">
        <f>HYPERLINK("http://ictvonline.org/taxonomyHistory.asp?taxnode_id=20174786","ICTVonline=20174786")</f>
        <v>ICTVonline=20174786</v>
      </c>
      <c r="L4358" s="3">
        <v>4357</v>
      </c>
    </row>
    <row r="4359" spans="1:12" x14ac:dyDescent="0.15">
      <c r="A4359" s="1" t="s">
        <v>908</v>
      </c>
      <c r="B4359" s="1" t="s">
        <v>2098</v>
      </c>
      <c r="C4359" s="1" t="s">
        <v>2099</v>
      </c>
      <c r="D4359" s="1" t="s">
        <v>908</v>
      </c>
      <c r="E4359" s="1" t="s">
        <v>205</v>
      </c>
      <c r="F4359" s="3">
        <v>0</v>
      </c>
      <c r="G4359" s="8" t="s">
        <v>2771</v>
      </c>
      <c r="H4359" s="8" t="s">
        <v>5162</v>
      </c>
      <c r="I4359" s="3">
        <v>26</v>
      </c>
      <c r="J4359" s="3" t="s">
        <v>6380</v>
      </c>
      <c r="K4359" s="17" t="str">
        <f>HYPERLINK("http://ictvonline.org/taxonomyHistory.asp?taxnode_id=20174787","ICTVonline=20174787")</f>
        <v>ICTVonline=20174787</v>
      </c>
      <c r="L4359" s="3">
        <v>4358</v>
      </c>
    </row>
    <row r="4360" spans="1:12" x14ac:dyDescent="0.15">
      <c r="A4360" s="1" t="s">
        <v>908</v>
      </c>
      <c r="B4360" s="1" t="s">
        <v>2098</v>
      </c>
      <c r="C4360" s="1" t="s">
        <v>2099</v>
      </c>
      <c r="D4360" s="1" t="s">
        <v>773</v>
      </c>
      <c r="E4360" s="1" t="s">
        <v>774</v>
      </c>
      <c r="F4360" s="3">
        <v>0</v>
      </c>
      <c r="G4360" s="8" t="s">
        <v>2771</v>
      </c>
      <c r="H4360" s="8" t="s">
        <v>5161</v>
      </c>
      <c r="I4360" s="3">
        <v>12</v>
      </c>
      <c r="J4360" s="3" t="s">
        <v>6080</v>
      </c>
      <c r="K4360" s="17" t="str">
        <f>HYPERLINK("http://ictvonline.org/taxonomyHistory.asp?taxnode_id=20174789","ICTVonline=20174789")</f>
        <v>ICTVonline=20174789</v>
      </c>
      <c r="L4360" s="3">
        <v>4359</v>
      </c>
    </row>
    <row r="4361" spans="1:12" x14ac:dyDescent="0.15">
      <c r="A4361" s="1" t="s">
        <v>908</v>
      </c>
      <c r="B4361" s="1" t="s">
        <v>2098</v>
      </c>
      <c r="C4361" s="1" t="s">
        <v>2099</v>
      </c>
      <c r="D4361" s="1" t="s">
        <v>773</v>
      </c>
      <c r="E4361" s="1" t="s">
        <v>772</v>
      </c>
      <c r="F4361" s="3">
        <v>1</v>
      </c>
      <c r="G4361" s="8" t="s">
        <v>2771</v>
      </c>
      <c r="H4361" s="8" t="s">
        <v>5162</v>
      </c>
      <c r="I4361" s="3">
        <v>14</v>
      </c>
      <c r="J4361" s="3" t="s">
        <v>6027</v>
      </c>
      <c r="K4361" s="17" t="str">
        <f>HYPERLINK("http://ictvonline.org/taxonomyHistory.asp?taxnode_id=20174790","ICTVonline=20174790")</f>
        <v>ICTVonline=20174790</v>
      </c>
      <c r="L4361" s="3">
        <v>4360</v>
      </c>
    </row>
    <row r="4362" spans="1:12" x14ac:dyDescent="0.15">
      <c r="A4362" s="1" t="s">
        <v>908</v>
      </c>
      <c r="B4362" s="1" t="s">
        <v>2098</v>
      </c>
      <c r="C4362" s="1" t="s">
        <v>775</v>
      </c>
      <c r="D4362" s="1" t="s">
        <v>1822</v>
      </c>
      <c r="E4362" s="1" t="s">
        <v>666</v>
      </c>
      <c r="F4362" s="3">
        <v>0</v>
      </c>
      <c r="G4362" s="8" t="s">
        <v>2771</v>
      </c>
      <c r="H4362" s="8" t="s">
        <v>5161</v>
      </c>
      <c r="I4362" s="3">
        <v>22</v>
      </c>
      <c r="J4362" s="3" t="s">
        <v>6385</v>
      </c>
      <c r="K4362" s="17" t="str">
        <f>HYPERLINK("http://ictvonline.org/taxonomyHistory.asp?taxnode_id=20174793","ICTVonline=20174793")</f>
        <v>ICTVonline=20174793</v>
      </c>
      <c r="L4362" s="3">
        <v>4361</v>
      </c>
    </row>
    <row r="4363" spans="1:12" x14ac:dyDescent="0.15">
      <c r="A4363" s="1" t="s">
        <v>908</v>
      </c>
      <c r="B4363" s="1" t="s">
        <v>2098</v>
      </c>
      <c r="C4363" s="1" t="s">
        <v>775</v>
      </c>
      <c r="D4363" s="1" t="s">
        <v>1822</v>
      </c>
      <c r="E4363" s="1" t="s">
        <v>667</v>
      </c>
      <c r="F4363" s="3">
        <v>0</v>
      </c>
      <c r="G4363" s="8" t="s">
        <v>2771</v>
      </c>
      <c r="H4363" s="8" t="s">
        <v>5161</v>
      </c>
      <c r="I4363" s="3">
        <v>22</v>
      </c>
      <c r="J4363" s="3" t="s">
        <v>6385</v>
      </c>
      <c r="K4363" s="17" t="str">
        <f>HYPERLINK("http://ictvonline.org/taxonomyHistory.asp?taxnode_id=20174794","ICTVonline=20174794")</f>
        <v>ICTVonline=20174794</v>
      </c>
      <c r="L4363" s="3">
        <v>4362</v>
      </c>
    </row>
    <row r="4364" spans="1:12" x14ac:dyDescent="0.15">
      <c r="A4364" s="1" t="s">
        <v>908</v>
      </c>
      <c r="B4364" s="1" t="s">
        <v>2098</v>
      </c>
      <c r="C4364" s="1" t="s">
        <v>775</v>
      </c>
      <c r="D4364" s="1" t="s">
        <v>1822</v>
      </c>
      <c r="E4364" s="1" t="s">
        <v>2733</v>
      </c>
      <c r="F4364" s="3">
        <v>0</v>
      </c>
      <c r="G4364" s="8" t="s">
        <v>2771</v>
      </c>
      <c r="H4364" s="8" t="s">
        <v>5162</v>
      </c>
      <c r="I4364" s="3">
        <v>29</v>
      </c>
      <c r="J4364" s="3" t="s">
        <v>6386</v>
      </c>
      <c r="K4364" s="17" t="str">
        <f>HYPERLINK("http://ictvonline.org/taxonomyHistory.asp?taxnode_id=20174795","ICTVonline=20174795")</f>
        <v>ICTVonline=20174795</v>
      </c>
      <c r="L4364" s="3">
        <v>4363</v>
      </c>
    </row>
    <row r="4365" spans="1:12" x14ac:dyDescent="0.15">
      <c r="A4365" s="1" t="s">
        <v>908</v>
      </c>
      <c r="B4365" s="1" t="s">
        <v>2098</v>
      </c>
      <c r="C4365" s="1" t="s">
        <v>775</v>
      </c>
      <c r="D4365" s="1" t="s">
        <v>1822</v>
      </c>
      <c r="E4365" s="1" t="s">
        <v>1823</v>
      </c>
      <c r="F4365" s="3">
        <v>0</v>
      </c>
      <c r="G4365" s="8" t="s">
        <v>2771</v>
      </c>
      <c r="H4365" s="8" t="s">
        <v>5161</v>
      </c>
      <c r="I4365" s="3">
        <v>22</v>
      </c>
      <c r="J4365" s="3" t="s">
        <v>6385</v>
      </c>
      <c r="K4365" s="17" t="str">
        <f>HYPERLINK("http://ictvonline.org/taxonomyHistory.asp?taxnode_id=20174796","ICTVonline=20174796")</f>
        <v>ICTVonline=20174796</v>
      </c>
      <c r="L4365" s="3">
        <v>4364</v>
      </c>
    </row>
    <row r="4366" spans="1:12" x14ac:dyDescent="0.15">
      <c r="A4366" s="1" t="s">
        <v>908</v>
      </c>
      <c r="B4366" s="1" t="s">
        <v>2098</v>
      </c>
      <c r="C4366" s="1" t="s">
        <v>775</v>
      </c>
      <c r="D4366" s="1" t="s">
        <v>1822</v>
      </c>
      <c r="E4366" s="1" t="s">
        <v>2734</v>
      </c>
      <c r="F4366" s="3">
        <v>0</v>
      </c>
      <c r="G4366" s="8" t="s">
        <v>2771</v>
      </c>
      <c r="H4366" s="8" t="s">
        <v>5162</v>
      </c>
      <c r="I4366" s="3">
        <v>29</v>
      </c>
      <c r="J4366" s="3" t="s">
        <v>6386</v>
      </c>
      <c r="K4366" s="17" t="str">
        <f>HYPERLINK("http://ictvonline.org/taxonomyHistory.asp?taxnode_id=20174797","ICTVonline=20174797")</f>
        <v>ICTVonline=20174797</v>
      </c>
      <c r="L4366" s="3">
        <v>4365</v>
      </c>
    </row>
    <row r="4367" spans="1:12" x14ac:dyDescent="0.15">
      <c r="A4367" s="1" t="s">
        <v>908</v>
      </c>
      <c r="B4367" s="1" t="s">
        <v>2098</v>
      </c>
      <c r="C4367" s="1" t="s">
        <v>775</v>
      </c>
      <c r="D4367" s="1" t="s">
        <v>1822</v>
      </c>
      <c r="E4367" s="1" t="s">
        <v>1824</v>
      </c>
      <c r="F4367" s="3">
        <v>0</v>
      </c>
      <c r="G4367" s="8" t="s">
        <v>2771</v>
      </c>
      <c r="H4367" s="8" t="s">
        <v>5161</v>
      </c>
      <c r="I4367" s="3">
        <v>22</v>
      </c>
      <c r="J4367" s="3" t="s">
        <v>6385</v>
      </c>
      <c r="K4367" s="17" t="str">
        <f>HYPERLINK("http://ictvonline.org/taxonomyHistory.asp?taxnode_id=20174798","ICTVonline=20174798")</f>
        <v>ICTVonline=20174798</v>
      </c>
      <c r="L4367" s="3">
        <v>4366</v>
      </c>
    </row>
    <row r="4368" spans="1:12" x14ac:dyDescent="0.15">
      <c r="A4368" s="1" t="s">
        <v>908</v>
      </c>
      <c r="B4368" s="1" t="s">
        <v>2098</v>
      </c>
      <c r="C4368" s="1" t="s">
        <v>775</v>
      </c>
      <c r="D4368" s="1" t="s">
        <v>1822</v>
      </c>
      <c r="E4368" s="1" t="s">
        <v>673</v>
      </c>
      <c r="F4368" s="3">
        <v>1</v>
      </c>
      <c r="G4368" s="8" t="s">
        <v>2771</v>
      </c>
      <c r="H4368" s="8" t="s">
        <v>5161</v>
      </c>
      <c r="I4368" s="3">
        <v>22</v>
      </c>
      <c r="J4368" s="3" t="s">
        <v>6385</v>
      </c>
      <c r="K4368" s="17" t="str">
        <f>HYPERLINK("http://ictvonline.org/taxonomyHistory.asp?taxnode_id=20174799","ICTVonline=20174799")</f>
        <v>ICTVonline=20174799</v>
      </c>
      <c r="L4368" s="3">
        <v>4367</v>
      </c>
    </row>
    <row r="4369" spans="1:12" x14ac:dyDescent="0.15">
      <c r="A4369" s="1" t="s">
        <v>908</v>
      </c>
      <c r="B4369" s="1" t="s">
        <v>2098</v>
      </c>
      <c r="C4369" s="1" t="s">
        <v>775</v>
      </c>
      <c r="D4369" s="1" t="s">
        <v>674</v>
      </c>
      <c r="E4369" s="1" t="s">
        <v>2735</v>
      </c>
      <c r="F4369" s="3">
        <v>0</v>
      </c>
      <c r="G4369" s="8" t="s">
        <v>2771</v>
      </c>
      <c r="H4369" s="8" t="s">
        <v>5162</v>
      </c>
      <c r="I4369" s="3">
        <v>29</v>
      </c>
      <c r="J4369" s="3" t="s">
        <v>6386</v>
      </c>
      <c r="K4369" s="17" t="str">
        <f>HYPERLINK("http://ictvonline.org/taxonomyHistory.asp?taxnode_id=20174801","ICTVonline=20174801")</f>
        <v>ICTVonline=20174801</v>
      </c>
      <c r="L4369" s="3">
        <v>4368</v>
      </c>
    </row>
    <row r="4370" spans="1:12" x14ac:dyDescent="0.15">
      <c r="A4370" s="1" t="s">
        <v>908</v>
      </c>
      <c r="B4370" s="1" t="s">
        <v>2098</v>
      </c>
      <c r="C4370" s="1" t="s">
        <v>775</v>
      </c>
      <c r="D4370" s="1" t="s">
        <v>674</v>
      </c>
      <c r="E4370" s="1" t="s">
        <v>2736</v>
      </c>
      <c r="F4370" s="3">
        <v>0</v>
      </c>
      <c r="G4370" s="8" t="s">
        <v>2771</v>
      </c>
      <c r="H4370" s="8" t="s">
        <v>5159</v>
      </c>
      <c r="I4370" s="3">
        <v>29</v>
      </c>
      <c r="J4370" s="3" t="s">
        <v>6387</v>
      </c>
      <c r="K4370" s="17" t="str">
        <f>HYPERLINK("http://ictvonline.org/taxonomyHistory.asp?taxnode_id=20174802","ICTVonline=20174802")</f>
        <v>ICTVonline=20174802</v>
      </c>
      <c r="L4370" s="3">
        <v>4369</v>
      </c>
    </row>
    <row r="4371" spans="1:12" x14ac:dyDescent="0.15">
      <c r="A4371" s="1" t="s">
        <v>908</v>
      </c>
      <c r="B4371" s="1" t="s">
        <v>2098</v>
      </c>
      <c r="C4371" s="1" t="s">
        <v>775</v>
      </c>
      <c r="D4371" s="1" t="s">
        <v>674</v>
      </c>
      <c r="E4371" s="1" t="s">
        <v>2737</v>
      </c>
      <c r="F4371" s="3">
        <v>1</v>
      </c>
      <c r="G4371" s="8" t="s">
        <v>2771</v>
      </c>
      <c r="H4371" s="8" t="s">
        <v>5162</v>
      </c>
      <c r="I4371" s="3">
        <v>29</v>
      </c>
      <c r="J4371" s="3" t="s">
        <v>6386</v>
      </c>
      <c r="K4371" s="17" t="str">
        <f>HYPERLINK("http://ictvonline.org/taxonomyHistory.asp?taxnode_id=20174803","ICTVonline=20174803")</f>
        <v>ICTVonline=20174803</v>
      </c>
      <c r="L4371" s="3">
        <v>4370</v>
      </c>
    </row>
    <row r="4372" spans="1:12" x14ac:dyDescent="0.15">
      <c r="A4372" s="1" t="s">
        <v>908</v>
      </c>
      <c r="B4372" s="1" t="s">
        <v>2098</v>
      </c>
      <c r="C4372" s="1" t="s">
        <v>775</v>
      </c>
      <c r="D4372" s="1" t="s">
        <v>674</v>
      </c>
      <c r="E4372" s="1" t="s">
        <v>2738</v>
      </c>
      <c r="F4372" s="3">
        <v>0</v>
      </c>
      <c r="G4372" s="8" t="s">
        <v>2771</v>
      </c>
      <c r="H4372" s="8" t="s">
        <v>5162</v>
      </c>
      <c r="I4372" s="3">
        <v>29</v>
      </c>
      <c r="J4372" s="3" t="s">
        <v>6386</v>
      </c>
      <c r="K4372" s="17" t="str">
        <f>HYPERLINK("http://ictvonline.org/taxonomyHistory.asp?taxnode_id=20174804","ICTVonline=20174804")</f>
        <v>ICTVonline=20174804</v>
      </c>
      <c r="L4372" s="3">
        <v>4371</v>
      </c>
    </row>
    <row r="4373" spans="1:12" x14ac:dyDescent="0.15">
      <c r="A4373" s="1" t="s">
        <v>908</v>
      </c>
      <c r="B4373" s="1" t="s">
        <v>2098</v>
      </c>
      <c r="C4373" s="1" t="s">
        <v>775</v>
      </c>
      <c r="D4373" s="1" t="s">
        <v>674</v>
      </c>
      <c r="E4373" s="1" t="s">
        <v>2739</v>
      </c>
      <c r="F4373" s="3">
        <v>0</v>
      </c>
      <c r="G4373" s="8" t="s">
        <v>2771</v>
      </c>
      <c r="H4373" s="8" t="s">
        <v>5162</v>
      </c>
      <c r="I4373" s="3">
        <v>29</v>
      </c>
      <c r="J4373" s="3" t="s">
        <v>6386</v>
      </c>
      <c r="K4373" s="17" t="str">
        <f>HYPERLINK("http://ictvonline.org/taxonomyHistory.asp?taxnode_id=20174805","ICTVonline=20174805")</f>
        <v>ICTVonline=20174805</v>
      </c>
      <c r="L4373" s="3">
        <v>4372</v>
      </c>
    </row>
    <row r="4374" spans="1:12" x14ac:dyDescent="0.15">
      <c r="A4374" s="1" t="s">
        <v>908</v>
      </c>
      <c r="B4374" s="1" t="s">
        <v>2098</v>
      </c>
      <c r="C4374" s="1" t="s">
        <v>775</v>
      </c>
      <c r="D4374" s="1" t="s">
        <v>674</v>
      </c>
      <c r="E4374" s="1" t="s">
        <v>2740</v>
      </c>
      <c r="F4374" s="3">
        <v>0</v>
      </c>
      <c r="G4374" s="8" t="s">
        <v>2771</v>
      </c>
      <c r="H4374" s="8" t="s">
        <v>5162</v>
      </c>
      <c r="I4374" s="3">
        <v>29</v>
      </c>
      <c r="J4374" s="3" t="s">
        <v>6386</v>
      </c>
      <c r="K4374" s="17" t="str">
        <f>HYPERLINK("http://ictvonline.org/taxonomyHistory.asp?taxnode_id=20174806","ICTVonline=20174806")</f>
        <v>ICTVonline=20174806</v>
      </c>
      <c r="L4374" s="3">
        <v>4373</v>
      </c>
    </row>
    <row r="4375" spans="1:12" x14ac:dyDescent="0.15">
      <c r="A4375" s="1" t="s">
        <v>908</v>
      </c>
      <c r="B4375" s="1" t="s">
        <v>2098</v>
      </c>
      <c r="C4375" s="1" t="s">
        <v>775</v>
      </c>
      <c r="D4375" s="1" t="s">
        <v>674</v>
      </c>
      <c r="E4375" s="1" t="s">
        <v>2741</v>
      </c>
      <c r="F4375" s="3">
        <v>0</v>
      </c>
      <c r="G4375" s="8" t="s">
        <v>2771</v>
      </c>
      <c r="H4375" s="8" t="s">
        <v>5162</v>
      </c>
      <c r="I4375" s="3">
        <v>29</v>
      </c>
      <c r="J4375" s="3" t="s">
        <v>6386</v>
      </c>
      <c r="K4375" s="17" t="str">
        <f>HYPERLINK("http://ictvonline.org/taxonomyHistory.asp?taxnode_id=20174807","ICTVonline=20174807")</f>
        <v>ICTVonline=20174807</v>
      </c>
      <c r="L4375" s="3">
        <v>4374</v>
      </c>
    </row>
    <row r="4376" spans="1:12" x14ac:dyDescent="0.15">
      <c r="A4376" s="1" t="s">
        <v>908</v>
      </c>
      <c r="B4376" s="1" t="s">
        <v>2098</v>
      </c>
      <c r="C4376" s="1" t="s">
        <v>775</v>
      </c>
      <c r="D4376" s="1" t="s">
        <v>674</v>
      </c>
      <c r="E4376" s="1" t="s">
        <v>2742</v>
      </c>
      <c r="F4376" s="3">
        <v>0</v>
      </c>
      <c r="G4376" s="8" t="s">
        <v>2771</v>
      </c>
      <c r="H4376" s="8" t="s">
        <v>5162</v>
      </c>
      <c r="I4376" s="3">
        <v>29</v>
      </c>
      <c r="J4376" s="3" t="s">
        <v>6386</v>
      </c>
      <c r="K4376" s="17" t="str">
        <f>HYPERLINK("http://ictvonline.org/taxonomyHistory.asp?taxnode_id=20174808","ICTVonline=20174808")</f>
        <v>ICTVonline=20174808</v>
      </c>
      <c r="L4376" s="3">
        <v>4375</v>
      </c>
    </row>
    <row r="4377" spans="1:12" x14ac:dyDescent="0.15">
      <c r="A4377" s="1" t="s">
        <v>908</v>
      </c>
      <c r="B4377" s="1" t="s">
        <v>2098</v>
      </c>
      <c r="C4377" s="1" t="s">
        <v>775</v>
      </c>
      <c r="D4377" s="1" t="s">
        <v>674</v>
      </c>
      <c r="E4377" s="1" t="s">
        <v>2743</v>
      </c>
      <c r="F4377" s="3">
        <v>0</v>
      </c>
      <c r="G4377" s="8" t="s">
        <v>2771</v>
      </c>
      <c r="H4377" s="8" t="s">
        <v>5159</v>
      </c>
      <c r="I4377" s="3">
        <v>29</v>
      </c>
      <c r="J4377" s="3" t="s">
        <v>6387</v>
      </c>
      <c r="K4377" s="17" t="str">
        <f>HYPERLINK("http://ictvonline.org/taxonomyHistory.asp?taxnode_id=20174809","ICTVonline=20174809")</f>
        <v>ICTVonline=20174809</v>
      </c>
      <c r="L4377" s="3">
        <v>4376</v>
      </c>
    </row>
    <row r="4378" spans="1:12" x14ac:dyDescent="0.15">
      <c r="A4378" s="1" t="s">
        <v>908</v>
      </c>
      <c r="B4378" s="1" t="s">
        <v>2098</v>
      </c>
      <c r="C4378" s="1" t="s">
        <v>775</v>
      </c>
      <c r="D4378" s="1" t="s">
        <v>674</v>
      </c>
      <c r="E4378" s="1" t="s">
        <v>2744</v>
      </c>
      <c r="F4378" s="3">
        <v>0</v>
      </c>
      <c r="G4378" s="8" t="s">
        <v>2771</v>
      </c>
      <c r="H4378" s="8" t="s">
        <v>5162</v>
      </c>
      <c r="I4378" s="3">
        <v>29</v>
      </c>
      <c r="J4378" s="3" t="s">
        <v>6386</v>
      </c>
      <c r="K4378" s="17" t="str">
        <f>HYPERLINK("http://ictvonline.org/taxonomyHistory.asp?taxnode_id=20174810","ICTVonline=20174810")</f>
        <v>ICTVonline=20174810</v>
      </c>
      <c r="L4378" s="3">
        <v>4377</v>
      </c>
    </row>
    <row r="4379" spans="1:12" x14ac:dyDescent="0.15">
      <c r="A4379" s="1" t="s">
        <v>908</v>
      </c>
      <c r="B4379" s="1" t="s">
        <v>2098</v>
      </c>
      <c r="C4379" s="1" t="s">
        <v>775</v>
      </c>
      <c r="D4379" s="1" t="s">
        <v>674</v>
      </c>
      <c r="E4379" s="1" t="s">
        <v>2745</v>
      </c>
      <c r="F4379" s="3">
        <v>0</v>
      </c>
      <c r="G4379" s="8" t="s">
        <v>2771</v>
      </c>
      <c r="H4379" s="8" t="s">
        <v>5162</v>
      </c>
      <c r="I4379" s="3">
        <v>29</v>
      </c>
      <c r="J4379" s="3" t="s">
        <v>6386</v>
      </c>
      <c r="K4379" s="17" t="str">
        <f>HYPERLINK("http://ictvonline.org/taxonomyHistory.asp?taxnode_id=20174811","ICTVonline=20174811")</f>
        <v>ICTVonline=20174811</v>
      </c>
      <c r="L4379" s="3">
        <v>4378</v>
      </c>
    </row>
    <row r="4380" spans="1:12" x14ac:dyDescent="0.15">
      <c r="A4380" s="1" t="s">
        <v>908</v>
      </c>
      <c r="B4380" s="1" t="s">
        <v>2098</v>
      </c>
      <c r="C4380" s="1" t="s">
        <v>775</v>
      </c>
      <c r="D4380" s="1" t="s">
        <v>674</v>
      </c>
      <c r="E4380" s="1" t="s">
        <v>2746</v>
      </c>
      <c r="F4380" s="3">
        <v>0</v>
      </c>
      <c r="G4380" s="8" t="s">
        <v>2771</v>
      </c>
      <c r="H4380" s="8" t="s">
        <v>5162</v>
      </c>
      <c r="I4380" s="3">
        <v>29</v>
      </c>
      <c r="J4380" s="3" t="s">
        <v>6386</v>
      </c>
      <c r="K4380" s="17" t="str">
        <f>HYPERLINK("http://ictvonline.org/taxonomyHistory.asp?taxnode_id=20174812","ICTVonline=20174812")</f>
        <v>ICTVonline=20174812</v>
      </c>
      <c r="L4380" s="3">
        <v>4379</v>
      </c>
    </row>
    <row r="4381" spans="1:12" x14ac:dyDescent="0.15">
      <c r="A4381" s="1" t="s">
        <v>908</v>
      </c>
      <c r="B4381" s="1" t="s">
        <v>2098</v>
      </c>
      <c r="C4381" s="1" t="s">
        <v>775</v>
      </c>
      <c r="D4381" s="1" t="s">
        <v>674</v>
      </c>
      <c r="E4381" s="1" t="s">
        <v>2747</v>
      </c>
      <c r="F4381" s="3">
        <v>0</v>
      </c>
      <c r="G4381" s="8" t="s">
        <v>2771</v>
      </c>
      <c r="H4381" s="8" t="s">
        <v>5159</v>
      </c>
      <c r="I4381" s="3">
        <v>29</v>
      </c>
      <c r="J4381" s="3" t="s">
        <v>6387</v>
      </c>
      <c r="K4381" s="17" t="str">
        <f>HYPERLINK("http://ictvonline.org/taxonomyHistory.asp?taxnode_id=20174813","ICTVonline=20174813")</f>
        <v>ICTVonline=20174813</v>
      </c>
      <c r="L4381" s="3">
        <v>4380</v>
      </c>
    </row>
    <row r="4382" spans="1:12" x14ac:dyDescent="0.15">
      <c r="A4382" s="1" t="s">
        <v>908</v>
      </c>
      <c r="B4382" s="1" t="s">
        <v>2098</v>
      </c>
      <c r="C4382" s="1" t="s">
        <v>775</v>
      </c>
      <c r="D4382" s="1" t="s">
        <v>674</v>
      </c>
      <c r="E4382" s="1" t="s">
        <v>2748</v>
      </c>
      <c r="F4382" s="3">
        <v>0</v>
      </c>
      <c r="G4382" s="8" t="s">
        <v>2771</v>
      </c>
      <c r="H4382" s="8" t="s">
        <v>5162</v>
      </c>
      <c r="I4382" s="3">
        <v>29</v>
      </c>
      <c r="J4382" s="3" t="s">
        <v>6386</v>
      </c>
      <c r="K4382" s="17" t="str">
        <f>HYPERLINK("http://ictvonline.org/taxonomyHistory.asp?taxnode_id=20174814","ICTVonline=20174814")</f>
        <v>ICTVonline=20174814</v>
      </c>
      <c r="L4382" s="3">
        <v>4381</v>
      </c>
    </row>
    <row r="4383" spans="1:12" x14ac:dyDescent="0.15">
      <c r="A4383" s="1" t="s">
        <v>908</v>
      </c>
      <c r="B4383" s="1" t="s">
        <v>2098</v>
      </c>
      <c r="C4383" s="1" t="s">
        <v>775</v>
      </c>
      <c r="D4383" s="1" t="s">
        <v>674</v>
      </c>
      <c r="E4383" s="1" t="s">
        <v>2749</v>
      </c>
      <c r="F4383" s="3">
        <v>0</v>
      </c>
      <c r="G4383" s="8" t="s">
        <v>2771</v>
      </c>
      <c r="H4383" s="8" t="s">
        <v>5162</v>
      </c>
      <c r="I4383" s="3">
        <v>29</v>
      </c>
      <c r="J4383" s="3" t="s">
        <v>6386</v>
      </c>
      <c r="K4383" s="17" t="str">
        <f>HYPERLINK("http://ictvonline.org/taxonomyHistory.asp?taxnode_id=20174815","ICTVonline=20174815")</f>
        <v>ICTVonline=20174815</v>
      </c>
      <c r="L4383" s="3">
        <v>4382</v>
      </c>
    </row>
    <row r="4384" spans="1:12" x14ac:dyDescent="0.15">
      <c r="A4384" s="1" t="s">
        <v>908</v>
      </c>
      <c r="B4384" s="1" t="s">
        <v>2098</v>
      </c>
      <c r="C4384" s="1" t="s">
        <v>775</v>
      </c>
      <c r="D4384" s="1" t="s">
        <v>674</v>
      </c>
      <c r="E4384" s="1" t="s">
        <v>2750</v>
      </c>
      <c r="F4384" s="3">
        <v>0</v>
      </c>
      <c r="G4384" s="8" t="s">
        <v>2771</v>
      </c>
      <c r="H4384" s="8" t="s">
        <v>5162</v>
      </c>
      <c r="I4384" s="3">
        <v>29</v>
      </c>
      <c r="J4384" s="3" t="s">
        <v>6386</v>
      </c>
      <c r="K4384" s="17" t="str">
        <f>HYPERLINK("http://ictvonline.org/taxonomyHistory.asp?taxnode_id=20174816","ICTVonline=20174816")</f>
        <v>ICTVonline=20174816</v>
      </c>
      <c r="L4384" s="3">
        <v>4383</v>
      </c>
    </row>
    <row r="4385" spans="1:12" x14ac:dyDescent="0.15">
      <c r="A4385" s="1" t="s">
        <v>908</v>
      </c>
      <c r="B4385" s="1" t="s">
        <v>2098</v>
      </c>
      <c r="C4385" s="1" t="s">
        <v>775</v>
      </c>
      <c r="D4385" s="1" t="s">
        <v>1562</v>
      </c>
      <c r="E4385" s="1" t="s">
        <v>1563</v>
      </c>
      <c r="F4385" s="3">
        <v>0</v>
      </c>
      <c r="G4385" s="8" t="s">
        <v>2771</v>
      </c>
      <c r="H4385" s="8" t="s">
        <v>5161</v>
      </c>
      <c r="I4385" s="3">
        <v>22</v>
      </c>
      <c r="J4385" s="3" t="s">
        <v>6385</v>
      </c>
      <c r="K4385" s="17" t="str">
        <f>HYPERLINK("http://ictvonline.org/taxonomyHistory.asp?taxnode_id=20174818","ICTVonline=20174818")</f>
        <v>ICTVonline=20174818</v>
      </c>
      <c r="L4385" s="3">
        <v>4384</v>
      </c>
    </row>
    <row r="4386" spans="1:12" x14ac:dyDescent="0.15">
      <c r="A4386" s="1" t="s">
        <v>908</v>
      </c>
      <c r="B4386" s="1" t="s">
        <v>2098</v>
      </c>
      <c r="C4386" s="1" t="s">
        <v>775</v>
      </c>
      <c r="D4386" s="1" t="s">
        <v>1562</v>
      </c>
      <c r="E4386" s="1" t="s">
        <v>1839</v>
      </c>
      <c r="F4386" s="3">
        <v>0</v>
      </c>
      <c r="G4386" s="8" t="s">
        <v>2771</v>
      </c>
      <c r="H4386" s="8" t="s">
        <v>5161</v>
      </c>
      <c r="I4386" s="3">
        <v>22</v>
      </c>
      <c r="J4386" s="3" t="s">
        <v>6385</v>
      </c>
      <c r="K4386" s="17" t="str">
        <f>HYPERLINK("http://ictvonline.org/taxonomyHistory.asp?taxnode_id=20174819","ICTVonline=20174819")</f>
        <v>ICTVonline=20174819</v>
      </c>
      <c r="L4386" s="3">
        <v>4385</v>
      </c>
    </row>
    <row r="4387" spans="1:12" x14ac:dyDescent="0.15">
      <c r="A4387" s="1" t="s">
        <v>908</v>
      </c>
      <c r="B4387" s="1" t="s">
        <v>2098</v>
      </c>
      <c r="C4387" s="1" t="s">
        <v>775</v>
      </c>
      <c r="D4387" s="1" t="s">
        <v>1562</v>
      </c>
      <c r="E4387" s="1" t="s">
        <v>2040</v>
      </c>
      <c r="F4387" s="3">
        <v>0</v>
      </c>
      <c r="G4387" s="8" t="s">
        <v>2771</v>
      </c>
      <c r="H4387" s="8" t="s">
        <v>5161</v>
      </c>
      <c r="I4387" s="3">
        <v>22</v>
      </c>
      <c r="J4387" s="3" t="s">
        <v>6385</v>
      </c>
      <c r="K4387" s="17" t="str">
        <f>HYPERLINK("http://ictvonline.org/taxonomyHistory.asp?taxnode_id=20174820","ICTVonline=20174820")</f>
        <v>ICTVonline=20174820</v>
      </c>
      <c r="L4387" s="3">
        <v>4386</v>
      </c>
    </row>
    <row r="4388" spans="1:12" x14ac:dyDescent="0.15">
      <c r="A4388" s="1" t="s">
        <v>908</v>
      </c>
      <c r="B4388" s="1" t="s">
        <v>2098</v>
      </c>
      <c r="C4388" s="1" t="s">
        <v>775</v>
      </c>
      <c r="D4388" s="1" t="s">
        <v>1562</v>
      </c>
      <c r="E4388" s="1" t="s">
        <v>2150</v>
      </c>
      <c r="F4388" s="3">
        <v>1</v>
      </c>
      <c r="G4388" s="8" t="s">
        <v>2771</v>
      </c>
      <c r="H4388" s="8" t="s">
        <v>5161</v>
      </c>
      <c r="I4388" s="3">
        <v>22</v>
      </c>
      <c r="J4388" s="3" t="s">
        <v>6385</v>
      </c>
      <c r="K4388" s="17" t="str">
        <f>HYPERLINK("http://ictvonline.org/taxonomyHistory.asp?taxnode_id=20174821","ICTVonline=20174821")</f>
        <v>ICTVonline=20174821</v>
      </c>
      <c r="L4388" s="3">
        <v>4387</v>
      </c>
    </row>
    <row r="4389" spans="1:12" x14ac:dyDescent="0.15">
      <c r="A4389" s="1" t="s">
        <v>908</v>
      </c>
      <c r="B4389" s="1" t="s">
        <v>2098</v>
      </c>
      <c r="C4389" s="1" t="s">
        <v>775</v>
      </c>
      <c r="D4389" s="1" t="s">
        <v>1562</v>
      </c>
      <c r="E4389" s="1" t="s">
        <v>1536</v>
      </c>
      <c r="F4389" s="3">
        <v>0</v>
      </c>
      <c r="G4389" s="8" t="s">
        <v>2771</v>
      </c>
      <c r="H4389" s="8" t="s">
        <v>5161</v>
      </c>
      <c r="I4389" s="3">
        <v>22</v>
      </c>
      <c r="J4389" s="3" t="s">
        <v>6385</v>
      </c>
      <c r="K4389" s="17" t="str">
        <f>HYPERLINK("http://ictvonline.org/taxonomyHistory.asp?taxnode_id=20174822","ICTVonline=20174822")</f>
        <v>ICTVonline=20174822</v>
      </c>
      <c r="L4389" s="3">
        <v>4388</v>
      </c>
    </row>
    <row r="4390" spans="1:12" x14ac:dyDescent="0.15">
      <c r="A4390" s="1" t="s">
        <v>908</v>
      </c>
      <c r="B4390" s="1" t="s">
        <v>2098</v>
      </c>
      <c r="C4390" s="1" t="s">
        <v>775</v>
      </c>
      <c r="D4390" s="1" t="s">
        <v>1562</v>
      </c>
      <c r="E4390" s="1" t="s">
        <v>2751</v>
      </c>
      <c r="F4390" s="3">
        <v>0</v>
      </c>
      <c r="G4390" s="8" t="s">
        <v>2771</v>
      </c>
      <c r="H4390" s="8" t="s">
        <v>5162</v>
      </c>
      <c r="I4390" s="3">
        <v>29</v>
      </c>
      <c r="J4390" s="3" t="s">
        <v>6386</v>
      </c>
      <c r="K4390" s="17" t="str">
        <f>HYPERLINK("http://ictvonline.org/taxonomyHistory.asp?taxnode_id=20174823","ICTVonline=20174823")</f>
        <v>ICTVonline=20174823</v>
      </c>
      <c r="L4390" s="3">
        <v>4389</v>
      </c>
    </row>
    <row r="4391" spans="1:12" x14ac:dyDescent="0.15">
      <c r="A4391" s="1" t="s">
        <v>908</v>
      </c>
      <c r="B4391" s="1" t="s">
        <v>2098</v>
      </c>
      <c r="C4391" s="1" t="s">
        <v>775</v>
      </c>
      <c r="D4391" s="1" t="s">
        <v>908</v>
      </c>
      <c r="E4391" s="1" t="s">
        <v>2152</v>
      </c>
      <c r="F4391" s="3">
        <v>0</v>
      </c>
      <c r="G4391" s="8" t="s">
        <v>2771</v>
      </c>
      <c r="H4391" s="8" t="s">
        <v>5159</v>
      </c>
      <c r="I4391" s="3">
        <v>23</v>
      </c>
      <c r="J4391" s="3" t="s">
        <v>6020</v>
      </c>
      <c r="K4391" s="17" t="str">
        <f>HYPERLINK("http://ictvonline.org/taxonomyHistory.asp?taxnode_id=20174825","ICTVonline=20174825")</f>
        <v>ICTVonline=20174825</v>
      </c>
      <c r="L4391" s="3">
        <v>4390</v>
      </c>
    </row>
    <row r="4392" spans="1:12" x14ac:dyDescent="0.15">
      <c r="A4392" s="1" t="s">
        <v>908</v>
      </c>
      <c r="B4392" s="1" t="s">
        <v>2098</v>
      </c>
      <c r="C4392" s="1" t="s">
        <v>775</v>
      </c>
      <c r="D4392" s="1" t="s">
        <v>908</v>
      </c>
      <c r="E4392" s="1" t="s">
        <v>6388</v>
      </c>
      <c r="F4392" s="3">
        <v>0</v>
      </c>
      <c r="G4392" s="8" t="s">
        <v>2771</v>
      </c>
      <c r="H4392" s="8" t="s">
        <v>5162</v>
      </c>
      <c r="I4392" s="3">
        <v>32</v>
      </c>
      <c r="J4392" s="3" t="s">
        <v>5564</v>
      </c>
      <c r="K4392" s="17" t="str">
        <f>HYPERLINK("http://ictvonline.org/taxonomyHistory.asp?taxnode_id=20174826","ICTVonline=20174826")</f>
        <v>ICTVonline=20174826</v>
      </c>
      <c r="L4392" s="3">
        <v>4391</v>
      </c>
    </row>
    <row r="4393" spans="1:12" x14ac:dyDescent="0.15">
      <c r="A4393" s="1" t="s">
        <v>908</v>
      </c>
      <c r="B4393" s="1" t="s">
        <v>2291</v>
      </c>
      <c r="D4393" s="1" t="s">
        <v>2292</v>
      </c>
      <c r="E4393" s="1" t="s">
        <v>2293</v>
      </c>
      <c r="F4393" s="3">
        <v>1</v>
      </c>
      <c r="G4393" s="8" t="s">
        <v>2776</v>
      </c>
      <c r="H4393" s="8" t="s">
        <v>5164</v>
      </c>
      <c r="I4393" s="3">
        <v>27</v>
      </c>
      <c r="J4393" s="3" t="s">
        <v>6389</v>
      </c>
      <c r="K4393" s="17" t="str">
        <f>HYPERLINK("http://ictvonline.org/taxonomyHistory.asp?taxnode_id=20174870","ICTVonline=20174870")</f>
        <v>ICTVonline=20174870</v>
      </c>
      <c r="L4393" s="3">
        <v>4392</v>
      </c>
    </row>
    <row r="4394" spans="1:12" x14ac:dyDescent="0.15">
      <c r="A4394" s="1" t="s">
        <v>908</v>
      </c>
      <c r="B4394" s="1" t="s">
        <v>1781</v>
      </c>
      <c r="C4394" s="1" t="s">
        <v>1170</v>
      </c>
      <c r="D4394" s="1" t="s">
        <v>735</v>
      </c>
      <c r="E4394" s="1" t="s">
        <v>736</v>
      </c>
      <c r="F4394" s="3">
        <v>1</v>
      </c>
      <c r="G4394" s="8" t="s">
        <v>2776</v>
      </c>
      <c r="H4394" s="8" t="s">
        <v>5161</v>
      </c>
      <c r="I4394" s="3">
        <v>25</v>
      </c>
      <c r="J4394" s="3" t="s">
        <v>6390</v>
      </c>
      <c r="K4394" s="17" t="str">
        <f>HYPERLINK("http://ictvonline.org/taxonomyHistory.asp?taxnode_id=20174874","ICTVonline=20174874")</f>
        <v>ICTVonline=20174874</v>
      </c>
      <c r="L4394" s="3">
        <v>4393</v>
      </c>
    </row>
    <row r="4395" spans="1:12" x14ac:dyDescent="0.15">
      <c r="A4395" s="1" t="s">
        <v>908</v>
      </c>
      <c r="B4395" s="1" t="s">
        <v>1781</v>
      </c>
      <c r="C4395" s="1" t="s">
        <v>1170</v>
      </c>
      <c r="D4395" s="1" t="s">
        <v>1940</v>
      </c>
      <c r="E4395" s="1" t="s">
        <v>1941</v>
      </c>
      <c r="F4395" s="3">
        <v>1</v>
      </c>
      <c r="G4395" s="8" t="s">
        <v>2776</v>
      </c>
      <c r="H4395" s="8" t="s">
        <v>5161</v>
      </c>
      <c r="I4395" s="3">
        <v>25</v>
      </c>
      <c r="J4395" s="3" t="s">
        <v>6390</v>
      </c>
      <c r="K4395" s="17" t="str">
        <f>HYPERLINK("http://ictvonline.org/taxonomyHistory.asp?taxnode_id=20174876","ICTVonline=20174876")</f>
        <v>ICTVonline=20174876</v>
      </c>
      <c r="L4395" s="3">
        <v>4394</v>
      </c>
    </row>
    <row r="4396" spans="1:12" x14ac:dyDescent="0.15">
      <c r="A4396" s="1" t="s">
        <v>908</v>
      </c>
      <c r="B4396" s="1" t="s">
        <v>1781</v>
      </c>
      <c r="C4396" s="1" t="s">
        <v>1170</v>
      </c>
      <c r="D4396" s="1" t="s">
        <v>1946</v>
      </c>
      <c r="E4396" s="1" t="s">
        <v>1382</v>
      </c>
      <c r="F4396" s="3">
        <v>0</v>
      </c>
      <c r="G4396" s="8" t="s">
        <v>2776</v>
      </c>
      <c r="H4396" s="8" t="s">
        <v>5161</v>
      </c>
      <c r="I4396" s="3">
        <v>25</v>
      </c>
      <c r="J4396" s="3" t="s">
        <v>6390</v>
      </c>
      <c r="K4396" s="17" t="str">
        <f>HYPERLINK("http://ictvonline.org/taxonomyHistory.asp?taxnode_id=20174878","ICTVonline=20174878")</f>
        <v>ICTVonline=20174878</v>
      </c>
      <c r="L4396" s="3">
        <v>4395</v>
      </c>
    </row>
    <row r="4397" spans="1:12" x14ac:dyDescent="0.15">
      <c r="A4397" s="1" t="s">
        <v>908</v>
      </c>
      <c r="B4397" s="1" t="s">
        <v>1781</v>
      </c>
      <c r="C4397" s="1" t="s">
        <v>1170</v>
      </c>
      <c r="D4397" s="1" t="s">
        <v>1946</v>
      </c>
      <c r="E4397" s="1" t="s">
        <v>1383</v>
      </c>
      <c r="F4397" s="3">
        <v>1</v>
      </c>
      <c r="G4397" s="8" t="s">
        <v>2776</v>
      </c>
      <c r="H4397" s="8" t="s">
        <v>5161</v>
      </c>
      <c r="I4397" s="3">
        <v>25</v>
      </c>
      <c r="J4397" s="3" t="s">
        <v>6390</v>
      </c>
      <c r="K4397" s="17" t="str">
        <f>HYPERLINK("http://ictvonline.org/taxonomyHistory.asp?taxnode_id=20174879","ICTVonline=20174879")</f>
        <v>ICTVonline=20174879</v>
      </c>
      <c r="L4397" s="3">
        <v>4396</v>
      </c>
    </row>
    <row r="4398" spans="1:12" x14ac:dyDescent="0.15">
      <c r="A4398" s="1" t="s">
        <v>908</v>
      </c>
      <c r="B4398" s="1" t="s">
        <v>1781</v>
      </c>
      <c r="C4398" s="1" t="s">
        <v>1170</v>
      </c>
      <c r="D4398" s="1" t="s">
        <v>1946</v>
      </c>
      <c r="E4398" s="1" t="s">
        <v>1384</v>
      </c>
      <c r="F4398" s="3">
        <v>0</v>
      </c>
      <c r="G4398" s="8" t="s">
        <v>2776</v>
      </c>
      <c r="H4398" s="8" t="s">
        <v>5161</v>
      </c>
      <c r="I4398" s="3">
        <v>25</v>
      </c>
      <c r="J4398" s="3" t="s">
        <v>6390</v>
      </c>
      <c r="K4398" s="17" t="str">
        <f>HYPERLINK("http://ictvonline.org/taxonomyHistory.asp?taxnode_id=20174880","ICTVonline=20174880")</f>
        <v>ICTVonline=20174880</v>
      </c>
      <c r="L4398" s="3">
        <v>4397</v>
      </c>
    </row>
    <row r="4399" spans="1:12" x14ac:dyDescent="0.15">
      <c r="A4399" s="1" t="s">
        <v>908</v>
      </c>
      <c r="B4399" s="1" t="s">
        <v>1781</v>
      </c>
      <c r="C4399" s="1" t="s">
        <v>1170</v>
      </c>
      <c r="D4399" s="1" t="s">
        <v>1946</v>
      </c>
      <c r="E4399" s="1" t="s">
        <v>1385</v>
      </c>
      <c r="F4399" s="3">
        <v>0</v>
      </c>
      <c r="G4399" s="8" t="s">
        <v>2776</v>
      </c>
      <c r="H4399" s="8" t="s">
        <v>5161</v>
      </c>
      <c r="I4399" s="3">
        <v>25</v>
      </c>
      <c r="J4399" s="3" t="s">
        <v>6390</v>
      </c>
      <c r="K4399" s="17" t="str">
        <f>HYPERLINK("http://ictvonline.org/taxonomyHistory.asp?taxnode_id=20174881","ICTVonline=20174881")</f>
        <v>ICTVonline=20174881</v>
      </c>
      <c r="L4399" s="3">
        <v>4398</v>
      </c>
    </row>
    <row r="4400" spans="1:12" x14ac:dyDescent="0.15">
      <c r="A4400" s="1" t="s">
        <v>908</v>
      </c>
      <c r="B4400" s="1" t="s">
        <v>1781</v>
      </c>
      <c r="C4400" s="1" t="s">
        <v>1170</v>
      </c>
      <c r="D4400" s="1" t="s">
        <v>1946</v>
      </c>
      <c r="E4400" s="1" t="s">
        <v>1386</v>
      </c>
      <c r="F4400" s="3">
        <v>0</v>
      </c>
      <c r="G4400" s="8" t="s">
        <v>2776</v>
      </c>
      <c r="H4400" s="8" t="s">
        <v>5161</v>
      </c>
      <c r="I4400" s="3">
        <v>25</v>
      </c>
      <c r="J4400" s="3" t="s">
        <v>6390</v>
      </c>
      <c r="K4400" s="17" t="str">
        <f>HYPERLINK("http://ictvonline.org/taxonomyHistory.asp?taxnode_id=20174882","ICTVonline=20174882")</f>
        <v>ICTVonline=20174882</v>
      </c>
      <c r="L4400" s="3">
        <v>4399</v>
      </c>
    </row>
    <row r="4401" spans="1:12" x14ac:dyDescent="0.15">
      <c r="A4401" s="1" t="s">
        <v>908</v>
      </c>
      <c r="B4401" s="1" t="s">
        <v>1781</v>
      </c>
      <c r="C4401" s="1" t="s">
        <v>1170</v>
      </c>
      <c r="D4401" s="1" t="s">
        <v>1946</v>
      </c>
      <c r="E4401" s="1" t="s">
        <v>1387</v>
      </c>
      <c r="F4401" s="3">
        <v>0</v>
      </c>
      <c r="G4401" s="8" t="s">
        <v>2776</v>
      </c>
      <c r="H4401" s="8" t="s">
        <v>5161</v>
      </c>
      <c r="I4401" s="3">
        <v>25</v>
      </c>
      <c r="J4401" s="3" t="s">
        <v>6390</v>
      </c>
      <c r="K4401" s="17" t="str">
        <f>HYPERLINK("http://ictvonline.org/taxonomyHistory.asp?taxnode_id=20174883","ICTVonline=20174883")</f>
        <v>ICTVonline=20174883</v>
      </c>
      <c r="L4401" s="3">
        <v>4400</v>
      </c>
    </row>
    <row r="4402" spans="1:12" x14ac:dyDescent="0.15">
      <c r="A4402" s="1" t="s">
        <v>908</v>
      </c>
      <c r="B4402" s="1" t="s">
        <v>1781</v>
      </c>
      <c r="C4402" s="1" t="s">
        <v>1170</v>
      </c>
      <c r="D4402" s="1" t="s">
        <v>1946</v>
      </c>
      <c r="E4402" s="1" t="s">
        <v>1400</v>
      </c>
      <c r="F4402" s="3">
        <v>0</v>
      </c>
      <c r="G4402" s="8" t="s">
        <v>2776</v>
      </c>
      <c r="H4402" s="8" t="s">
        <v>5161</v>
      </c>
      <c r="I4402" s="3">
        <v>25</v>
      </c>
      <c r="J4402" s="3" t="s">
        <v>6390</v>
      </c>
      <c r="K4402" s="17" t="str">
        <f>HYPERLINK("http://ictvonline.org/taxonomyHistory.asp?taxnode_id=20174884","ICTVonline=20174884")</f>
        <v>ICTVonline=20174884</v>
      </c>
      <c r="L4402" s="3">
        <v>4401</v>
      </c>
    </row>
    <row r="4403" spans="1:12" x14ac:dyDescent="0.15">
      <c r="A4403" s="1" t="s">
        <v>908</v>
      </c>
      <c r="B4403" s="1" t="s">
        <v>1781</v>
      </c>
      <c r="C4403" s="1" t="s">
        <v>1170</v>
      </c>
      <c r="D4403" s="1" t="s">
        <v>1946</v>
      </c>
      <c r="E4403" s="1" t="s">
        <v>1401</v>
      </c>
      <c r="F4403" s="3">
        <v>0</v>
      </c>
      <c r="G4403" s="8" t="s">
        <v>2776</v>
      </c>
      <c r="H4403" s="8" t="s">
        <v>5161</v>
      </c>
      <c r="I4403" s="3">
        <v>25</v>
      </c>
      <c r="J4403" s="3" t="s">
        <v>6390</v>
      </c>
      <c r="K4403" s="17" t="str">
        <f>HYPERLINK("http://ictvonline.org/taxonomyHistory.asp?taxnode_id=20174885","ICTVonline=20174885")</f>
        <v>ICTVonline=20174885</v>
      </c>
      <c r="L4403" s="3">
        <v>4402</v>
      </c>
    </row>
    <row r="4404" spans="1:12" x14ac:dyDescent="0.15">
      <c r="A4404" s="1" t="s">
        <v>908</v>
      </c>
      <c r="B4404" s="1" t="s">
        <v>1781</v>
      </c>
      <c r="C4404" s="1" t="s">
        <v>1170</v>
      </c>
      <c r="D4404" s="1" t="s">
        <v>1946</v>
      </c>
      <c r="E4404" s="1" t="s">
        <v>1402</v>
      </c>
      <c r="F4404" s="3">
        <v>0</v>
      </c>
      <c r="G4404" s="8" t="s">
        <v>2776</v>
      </c>
      <c r="H4404" s="8" t="s">
        <v>5161</v>
      </c>
      <c r="I4404" s="3">
        <v>25</v>
      </c>
      <c r="J4404" s="3" t="s">
        <v>6390</v>
      </c>
      <c r="K4404" s="17" t="str">
        <f>HYPERLINK("http://ictvonline.org/taxonomyHistory.asp?taxnode_id=20174886","ICTVonline=20174886")</f>
        <v>ICTVonline=20174886</v>
      </c>
      <c r="L4404" s="3">
        <v>4403</v>
      </c>
    </row>
    <row r="4405" spans="1:12" x14ac:dyDescent="0.15">
      <c r="A4405" s="1" t="s">
        <v>908</v>
      </c>
      <c r="B4405" s="1" t="s">
        <v>1781</v>
      </c>
      <c r="C4405" s="1" t="s">
        <v>1170</v>
      </c>
      <c r="D4405" s="1" t="s">
        <v>1946</v>
      </c>
      <c r="E4405" s="1" t="s">
        <v>1403</v>
      </c>
      <c r="F4405" s="3">
        <v>0</v>
      </c>
      <c r="G4405" s="8" t="s">
        <v>2776</v>
      </c>
      <c r="H4405" s="8" t="s">
        <v>5161</v>
      </c>
      <c r="I4405" s="3">
        <v>25</v>
      </c>
      <c r="J4405" s="3" t="s">
        <v>6390</v>
      </c>
      <c r="K4405" s="17" t="str">
        <f>HYPERLINK("http://ictvonline.org/taxonomyHistory.asp?taxnode_id=20174887","ICTVonline=20174887")</f>
        <v>ICTVonline=20174887</v>
      </c>
      <c r="L4405" s="3">
        <v>4404</v>
      </c>
    </row>
    <row r="4406" spans="1:12" x14ac:dyDescent="0.15">
      <c r="A4406" s="1" t="s">
        <v>908</v>
      </c>
      <c r="B4406" s="1" t="s">
        <v>1781</v>
      </c>
      <c r="C4406" s="1" t="s">
        <v>1170</v>
      </c>
      <c r="D4406" s="1" t="s">
        <v>1946</v>
      </c>
      <c r="E4406" s="1" t="s">
        <v>1404</v>
      </c>
      <c r="F4406" s="3">
        <v>0</v>
      </c>
      <c r="G4406" s="8" t="s">
        <v>2776</v>
      </c>
      <c r="H4406" s="8" t="s">
        <v>5161</v>
      </c>
      <c r="I4406" s="3">
        <v>25</v>
      </c>
      <c r="J4406" s="3" t="s">
        <v>6390</v>
      </c>
      <c r="K4406" s="17" t="str">
        <f>HYPERLINK("http://ictvonline.org/taxonomyHistory.asp?taxnode_id=20174888","ICTVonline=20174888")</f>
        <v>ICTVonline=20174888</v>
      </c>
      <c r="L4406" s="3">
        <v>4405</v>
      </c>
    </row>
    <row r="4407" spans="1:12" x14ac:dyDescent="0.15">
      <c r="A4407" s="1" t="s">
        <v>908</v>
      </c>
      <c r="B4407" s="1" t="s">
        <v>1781</v>
      </c>
      <c r="C4407" s="1" t="s">
        <v>1170</v>
      </c>
      <c r="D4407" s="1" t="s">
        <v>1946</v>
      </c>
      <c r="E4407" s="1" t="s">
        <v>1405</v>
      </c>
      <c r="F4407" s="3">
        <v>0</v>
      </c>
      <c r="G4407" s="8" t="s">
        <v>2776</v>
      </c>
      <c r="H4407" s="8" t="s">
        <v>5161</v>
      </c>
      <c r="I4407" s="3">
        <v>25</v>
      </c>
      <c r="J4407" s="3" t="s">
        <v>6390</v>
      </c>
      <c r="K4407" s="17" t="str">
        <f>HYPERLINK("http://ictvonline.org/taxonomyHistory.asp?taxnode_id=20174889","ICTVonline=20174889")</f>
        <v>ICTVonline=20174889</v>
      </c>
      <c r="L4407" s="3">
        <v>4406</v>
      </c>
    </row>
    <row r="4408" spans="1:12" x14ac:dyDescent="0.15">
      <c r="A4408" s="1" t="s">
        <v>908</v>
      </c>
      <c r="B4408" s="1" t="s">
        <v>1781</v>
      </c>
      <c r="C4408" s="1" t="s">
        <v>1170</v>
      </c>
      <c r="D4408" s="1" t="s">
        <v>1946</v>
      </c>
      <c r="E4408" s="1" t="s">
        <v>1410</v>
      </c>
      <c r="F4408" s="3">
        <v>0</v>
      </c>
      <c r="G4408" s="8" t="s">
        <v>2776</v>
      </c>
      <c r="H4408" s="8" t="s">
        <v>5161</v>
      </c>
      <c r="I4408" s="3">
        <v>25</v>
      </c>
      <c r="J4408" s="3" t="s">
        <v>6390</v>
      </c>
      <c r="K4408" s="17" t="str">
        <f>HYPERLINK("http://ictvonline.org/taxonomyHistory.asp?taxnode_id=20174890","ICTVonline=20174890")</f>
        <v>ICTVonline=20174890</v>
      </c>
      <c r="L4408" s="3">
        <v>4407</v>
      </c>
    </row>
    <row r="4409" spans="1:12" x14ac:dyDescent="0.15">
      <c r="A4409" s="1" t="s">
        <v>908</v>
      </c>
      <c r="B4409" s="1" t="s">
        <v>1781</v>
      </c>
      <c r="C4409" s="1" t="s">
        <v>1170</v>
      </c>
      <c r="D4409" s="1" t="s">
        <v>1946</v>
      </c>
      <c r="E4409" s="1" t="s">
        <v>1411</v>
      </c>
      <c r="F4409" s="3">
        <v>0</v>
      </c>
      <c r="G4409" s="8" t="s">
        <v>2776</v>
      </c>
      <c r="H4409" s="8" t="s">
        <v>5161</v>
      </c>
      <c r="I4409" s="3">
        <v>25</v>
      </c>
      <c r="J4409" s="3" t="s">
        <v>6390</v>
      </c>
      <c r="K4409" s="17" t="str">
        <f>HYPERLINK("http://ictvonline.org/taxonomyHistory.asp?taxnode_id=20174891","ICTVonline=20174891")</f>
        <v>ICTVonline=20174891</v>
      </c>
      <c r="L4409" s="3">
        <v>4408</v>
      </c>
    </row>
    <row r="4410" spans="1:12" x14ac:dyDescent="0.15">
      <c r="A4410" s="1" t="s">
        <v>908</v>
      </c>
      <c r="B4410" s="1" t="s">
        <v>1781</v>
      </c>
      <c r="C4410" s="1" t="s">
        <v>1170</v>
      </c>
      <c r="D4410" s="1" t="s">
        <v>1946</v>
      </c>
      <c r="E4410" s="1" t="s">
        <v>1412</v>
      </c>
      <c r="F4410" s="3">
        <v>0</v>
      </c>
      <c r="G4410" s="8" t="s">
        <v>2776</v>
      </c>
      <c r="H4410" s="8" t="s">
        <v>5161</v>
      </c>
      <c r="I4410" s="3">
        <v>25</v>
      </c>
      <c r="J4410" s="3" t="s">
        <v>6390</v>
      </c>
      <c r="K4410" s="17" t="str">
        <f>HYPERLINK("http://ictvonline.org/taxonomyHistory.asp?taxnode_id=20174892","ICTVonline=20174892")</f>
        <v>ICTVonline=20174892</v>
      </c>
      <c r="L4410" s="3">
        <v>4409</v>
      </c>
    </row>
    <row r="4411" spans="1:12" x14ac:dyDescent="0.15">
      <c r="A4411" s="1" t="s">
        <v>908</v>
      </c>
      <c r="B4411" s="1" t="s">
        <v>1781</v>
      </c>
      <c r="C4411" s="1" t="s">
        <v>1170</v>
      </c>
      <c r="D4411" s="1" t="s">
        <v>1946</v>
      </c>
      <c r="E4411" s="1" t="s">
        <v>1311</v>
      </c>
      <c r="F4411" s="3">
        <v>0</v>
      </c>
      <c r="G4411" s="8" t="s">
        <v>2776</v>
      </c>
      <c r="H4411" s="8" t="s">
        <v>5161</v>
      </c>
      <c r="I4411" s="3">
        <v>25</v>
      </c>
      <c r="J4411" s="3" t="s">
        <v>6390</v>
      </c>
      <c r="K4411" s="17" t="str">
        <f>HYPERLINK("http://ictvonline.org/taxonomyHistory.asp?taxnode_id=20174893","ICTVonline=20174893")</f>
        <v>ICTVonline=20174893</v>
      </c>
      <c r="L4411" s="3">
        <v>4410</v>
      </c>
    </row>
    <row r="4412" spans="1:12" x14ac:dyDescent="0.15">
      <c r="A4412" s="1" t="s">
        <v>908</v>
      </c>
      <c r="B4412" s="1" t="s">
        <v>1781</v>
      </c>
      <c r="C4412" s="1" t="s">
        <v>1170</v>
      </c>
      <c r="D4412" s="1" t="s">
        <v>1946</v>
      </c>
      <c r="E4412" s="1" t="s">
        <v>1312</v>
      </c>
      <c r="F4412" s="3">
        <v>0</v>
      </c>
      <c r="G4412" s="8" t="s">
        <v>2776</v>
      </c>
      <c r="H4412" s="8" t="s">
        <v>5161</v>
      </c>
      <c r="I4412" s="3">
        <v>25</v>
      </c>
      <c r="J4412" s="3" t="s">
        <v>6390</v>
      </c>
      <c r="K4412" s="17" t="str">
        <f>HYPERLINK("http://ictvonline.org/taxonomyHistory.asp?taxnode_id=20174894","ICTVonline=20174894")</f>
        <v>ICTVonline=20174894</v>
      </c>
      <c r="L4412" s="3">
        <v>4411</v>
      </c>
    </row>
    <row r="4413" spans="1:12" x14ac:dyDescent="0.15">
      <c r="A4413" s="1" t="s">
        <v>908</v>
      </c>
      <c r="B4413" s="1" t="s">
        <v>1781</v>
      </c>
      <c r="C4413" s="1" t="s">
        <v>1170</v>
      </c>
      <c r="D4413" s="1" t="s">
        <v>1946</v>
      </c>
      <c r="E4413" s="1" t="s">
        <v>1313</v>
      </c>
      <c r="F4413" s="3">
        <v>0</v>
      </c>
      <c r="G4413" s="8" t="s">
        <v>2776</v>
      </c>
      <c r="H4413" s="8" t="s">
        <v>5161</v>
      </c>
      <c r="I4413" s="3">
        <v>25</v>
      </c>
      <c r="J4413" s="3" t="s">
        <v>6390</v>
      </c>
      <c r="K4413" s="17" t="str">
        <f>HYPERLINK("http://ictvonline.org/taxonomyHistory.asp?taxnode_id=20174895","ICTVonline=20174895")</f>
        <v>ICTVonline=20174895</v>
      </c>
      <c r="L4413" s="3">
        <v>4412</v>
      </c>
    </row>
    <row r="4414" spans="1:12" x14ac:dyDescent="0.15">
      <c r="A4414" s="1" t="s">
        <v>908</v>
      </c>
      <c r="B4414" s="1" t="s">
        <v>1781</v>
      </c>
      <c r="C4414" s="1" t="s">
        <v>1170</v>
      </c>
      <c r="D4414" s="1" t="s">
        <v>1946</v>
      </c>
      <c r="E4414" s="1" t="s">
        <v>1314</v>
      </c>
      <c r="F4414" s="3">
        <v>0</v>
      </c>
      <c r="G4414" s="8" t="s">
        <v>2776</v>
      </c>
      <c r="H4414" s="8" t="s">
        <v>5161</v>
      </c>
      <c r="I4414" s="3">
        <v>25</v>
      </c>
      <c r="J4414" s="3" t="s">
        <v>6390</v>
      </c>
      <c r="K4414" s="17" t="str">
        <f>HYPERLINK("http://ictvonline.org/taxonomyHistory.asp?taxnode_id=20174896","ICTVonline=20174896")</f>
        <v>ICTVonline=20174896</v>
      </c>
      <c r="L4414" s="3">
        <v>4413</v>
      </c>
    </row>
    <row r="4415" spans="1:12" x14ac:dyDescent="0.15">
      <c r="A4415" s="1" t="s">
        <v>908</v>
      </c>
      <c r="B4415" s="1" t="s">
        <v>1781</v>
      </c>
      <c r="C4415" s="1" t="s">
        <v>1170</v>
      </c>
      <c r="D4415" s="1" t="s">
        <v>1946</v>
      </c>
      <c r="E4415" s="1" t="s">
        <v>1315</v>
      </c>
      <c r="F4415" s="3">
        <v>0</v>
      </c>
      <c r="G4415" s="8" t="s">
        <v>2776</v>
      </c>
      <c r="H4415" s="8" t="s">
        <v>5161</v>
      </c>
      <c r="I4415" s="3">
        <v>25</v>
      </c>
      <c r="J4415" s="3" t="s">
        <v>6390</v>
      </c>
      <c r="K4415" s="17" t="str">
        <f>HYPERLINK("http://ictvonline.org/taxonomyHistory.asp?taxnode_id=20174897","ICTVonline=20174897")</f>
        <v>ICTVonline=20174897</v>
      </c>
      <c r="L4415" s="3">
        <v>4414</v>
      </c>
    </row>
    <row r="4416" spans="1:12" x14ac:dyDescent="0.15">
      <c r="A4416" s="1" t="s">
        <v>908</v>
      </c>
      <c r="B4416" s="1" t="s">
        <v>1781</v>
      </c>
      <c r="C4416" s="1" t="s">
        <v>1170</v>
      </c>
      <c r="D4416" s="1" t="s">
        <v>1946</v>
      </c>
      <c r="E4416" s="1" t="s">
        <v>1316</v>
      </c>
      <c r="F4416" s="3">
        <v>0</v>
      </c>
      <c r="G4416" s="8" t="s">
        <v>2776</v>
      </c>
      <c r="H4416" s="8" t="s">
        <v>5161</v>
      </c>
      <c r="I4416" s="3">
        <v>25</v>
      </c>
      <c r="J4416" s="3" t="s">
        <v>6390</v>
      </c>
      <c r="K4416" s="17" t="str">
        <f>HYPERLINK("http://ictvonline.org/taxonomyHistory.asp?taxnode_id=20174898","ICTVonline=20174898")</f>
        <v>ICTVonline=20174898</v>
      </c>
      <c r="L4416" s="3">
        <v>4415</v>
      </c>
    </row>
    <row r="4417" spans="1:12" x14ac:dyDescent="0.15">
      <c r="A4417" s="1" t="s">
        <v>908</v>
      </c>
      <c r="B4417" s="1" t="s">
        <v>1781</v>
      </c>
      <c r="C4417" s="1" t="s">
        <v>1170</v>
      </c>
      <c r="D4417" s="1" t="s">
        <v>1946</v>
      </c>
      <c r="E4417" s="1" t="s">
        <v>1317</v>
      </c>
      <c r="F4417" s="3">
        <v>0</v>
      </c>
      <c r="G4417" s="8" t="s">
        <v>2776</v>
      </c>
      <c r="H4417" s="8" t="s">
        <v>5161</v>
      </c>
      <c r="I4417" s="3">
        <v>25</v>
      </c>
      <c r="J4417" s="3" t="s">
        <v>6390</v>
      </c>
      <c r="K4417" s="17" t="str">
        <f>HYPERLINK("http://ictvonline.org/taxonomyHistory.asp?taxnode_id=20174899","ICTVonline=20174899")</f>
        <v>ICTVonline=20174899</v>
      </c>
      <c r="L4417" s="3">
        <v>4416</v>
      </c>
    </row>
    <row r="4418" spans="1:12" x14ac:dyDescent="0.15">
      <c r="A4418" s="1" t="s">
        <v>908</v>
      </c>
      <c r="B4418" s="1" t="s">
        <v>1781</v>
      </c>
      <c r="C4418" s="1" t="s">
        <v>1170</v>
      </c>
      <c r="D4418" s="1" t="s">
        <v>241</v>
      </c>
      <c r="E4418" s="1" t="s">
        <v>348</v>
      </c>
      <c r="F4418" s="3">
        <v>0</v>
      </c>
      <c r="G4418" s="8" t="s">
        <v>2776</v>
      </c>
      <c r="H4418" s="8" t="s">
        <v>5161</v>
      </c>
      <c r="I4418" s="3">
        <v>25</v>
      </c>
      <c r="J4418" s="3" t="s">
        <v>6390</v>
      </c>
      <c r="K4418" s="17" t="str">
        <f>HYPERLINK("http://ictvonline.org/taxonomyHistory.asp?taxnode_id=20174901","ICTVonline=20174901")</f>
        <v>ICTVonline=20174901</v>
      </c>
      <c r="L4418" s="3">
        <v>4417</v>
      </c>
    </row>
    <row r="4419" spans="1:12" x14ac:dyDescent="0.15">
      <c r="A4419" s="1" t="s">
        <v>908</v>
      </c>
      <c r="B4419" s="1" t="s">
        <v>1781</v>
      </c>
      <c r="C4419" s="1" t="s">
        <v>1170</v>
      </c>
      <c r="D4419" s="1" t="s">
        <v>241</v>
      </c>
      <c r="E4419" s="1" t="s">
        <v>349</v>
      </c>
      <c r="F4419" s="3">
        <v>0</v>
      </c>
      <c r="G4419" s="8" t="s">
        <v>2776</v>
      </c>
      <c r="H4419" s="8" t="s">
        <v>5161</v>
      </c>
      <c r="I4419" s="3">
        <v>25</v>
      </c>
      <c r="J4419" s="3" t="s">
        <v>6390</v>
      </c>
      <c r="K4419" s="17" t="str">
        <f>HYPERLINK("http://ictvonline.org/taxonomyHistory.asp?taxnode_id=20174902","ICTVonline=20174902")</f>
        <v>ICTVonline=20174902</v>
      </c>
      <c r="L4419" s="3">
        <v>4418</v>
      </c>
    </row>
    <row r="4420" spans="1:12" x14ac:dyDescent="0.15">
      <c r="A4420" s="1" t="s">
        <v>908</v>
      </c>
      <c r="B4420" s="1" t="s">
        <v>1781</v>
      </c>
      <c r="C4420" s="1" t="s">
        <v>1170</v>
      </c>
      <c r="D4420" s="1" t="s">
        <v>241</v>
      </c>
      <c r="E4420" s="1" t="s">
        <v>350</v>
      </c>
      <c r="F4420" s="3">
        <v>1</v>
      </c>
      <c r="G4420" s="8" t="s">
        <v>2776</v>
      </c>
      <c r="H4420" s="8" t="s">
        <v>5161</v>
      </c>
      <c r="I4420" s="3">
        <v>25</v>
      </c>
      <c r="J4420" s="3" t="s">
        <v>6390</v>
      </c>
      <c r="K4420" s="17" t="str">
        <f>HYPERLINK("http://ictvonline.org/taxonomyHistory.asp?taxnode_id=20174903","ICTVonline=20174903")</f>
        <v>ICTVonline=20174903</v>
      </c>
      <c r="L4420" s="3">
        <v>4419</v>
      </c>
    </row>
    <row r="4421" spans="1:12" x14ac:dyDescent="0.15">
      <c r="A4421" s="1" t="s">
        <v>908</v>
      </c>
      <c r="B4421" s="1" t="s">
        <v>1781</v>
      </c>
      <c r="C4421" s="1" t="s">
        <v>1170</v>
      </c>
      <c r="D4421" s="1" t="s">
        <v>229</v>
      </c>
      <c r="E4421" s="1" t="s">
        <v>352</v>
      </c>
      <c r="F4421" s="3">
        <v>1</v>
      </c>
      <c r="G4421" s="8" t="s">
        <v>2776</v>
      </c>
      <c r="H4421" s="8" t="s">
        <v>5161</v>
      </c>
      <c r="I4421" s="3">
        <v>25</v>
      </c>
      <c r="J4421" s="3" t="s">
        <v>6390</v>
      </c>
      <c r="K4421" s="17" t="str">
        <f>HYPERLINK("http://ictvonline.org/taxonomyHistory.asp?taxnode_id=20174905","ICTVonline=20174905")</f>
        <v>ICTVonline=20174905</v>
      </c>
      <c r="L4421" s="3">
        <v>4420</v>
      </c>
    </row>
    <row r="4422" spans="1:12" x14ac:dyDescent="0.15">
      <c r="A4422" s="1" t="s">
        <v>908</v>
      </c>
      <c r="B4422" s="1" t="s">
        <v>1781</v>
      </c>
      <c r="C4422" s="1" t="s">
        <v>1170</v>
      </c>
      <c r="D4422" s="1" t="s">
        <v>229</v>
      </c>
      <c r="E4422" s="1" t="s">
        <v>353</v>
      </c>
      <c r="F4422" s="3">
        <v>0</v>
      </c>
      <c r="G4422" s="8" t="s">
        <v>2776</v>
      </c>
      <c r="H4422" s="8" t="s">
        <v>5161</v>
      </c>
      <c r="I4422" s="3">
        <v>25</v>
      </c>
      <c r="J4422" s="3" t="s">
        <v>6390</v>
      </c>
      <c r="K4422" s="17" t="str">
        <f>HYPERLINK("http://ictvonline.org/taxonomyHistory.asp?taxnode_id=20174906","ICTVonline=20174906")</f>
        <v>ICTVonline=20174906</v>
      </c>
      <c r="L4422" s="3">
        <v>4421</v>
      </c>
    </row>
    <row r="4423" spans="1:12" x14ac:dyDescent="0.15">
      <c r="A4423" s="1" t="s">
        <v>908</v>
      </c>
      <c r="B4423" s="1" t="s">
        <v>1781</v>
      </c>
      <c r="C4423" s="1" t="s">
        <v>1170</v>
      </c>
      <c r="D4423" s="1" t="s">
        <v>229</v>
      </c>
      <c r="E4423" s="1" t="s">
        <v>354</v>
      </c>
      <c r="F4423" s="3">
        <v>0</v>
      </c>
      <c r="G4423" s="8" t="s">
        <v>2776</v>
      </c>
      <c r="H4423" s="8" t="s">
        <v>5161</v>
      </c>
      <c r="I4423" s="3">
        <v>25</v>
      </c>
      <c r="J4423" s="3" t="s">
        <v>6390</v>
      </c>
      <c r="K4423" s="17" t="str">
        <f>HYPERLINK("http://ictvonline.org/taxonomyHistory.asp?taxnode_id=20174907","ICTVonline=20174907")</f>
        <v>ICTVonline=20174907</v>
      </c>
      <c r="L4423" s="3">
        <v>4422</v>
      </c>
    </row>
    <row r="4424" spans="1:12" x14ac:dyDescent="0.15">
      <c r="A4424" s="1" t="s">
        <v>908</v>
      </c>
      <c r="B4424" s="1" t="s">
        <v>1781</v>
      </c>
      <c r="C4424" s="1" t="s">
        <v>1170</v>
      </c>
      <c r="D4424" s="1" t="s">
        <v>229</v>
      </c>
      <c r="E4424" s="1" t="s">
        <v>355</v>
      </c>
      <c r="F4424" s="3">
        <v>0</v>
      </c>
      <c r="G4424" s="8" t="s">
        <v>2776</v>
      </c>
      <c r="H4424" s="8" t="s">
        <v>5161</v>
      </c>
      <c r="I4424" s="3">
        <v>25</v>
      </c>
      <c r="J4424" s="3" t="s">
        <v>6390</v>
      </c>
      <c r="K4424" s="17" t="str">
        <f>HYPERLINK("http://ictvonline.org/taxonomyHistory.asp?taxnode_id=20174908","ICTVonline=20174908")</f>
        <v>ICTVonline=20174908</v>
      </c>
      <c r="L4424" s="3">
        <v>4423</v>
      </c>
    </row>
    <row r="4425" spans="1:12" x14ac:dyDescent="0.15">
      <c r="A4425" s="1" t="s">
        <v>908</v>
      </c>
      <c r="B4425" s="1" t="s">
        <v>1781</v>
      </c>
      <c r="C4425" s="1" t="s">
        <v>1170</v>
      </c>
      <c r="D4425" s="1" t="s">
        <v>229</v>
      </c>
      <c r="E4425" s="1" t="s">
        <v>356</v>
      </c>
      <c r="F4425" s="3">
        <v>0</v>
      </c>
      <c r="G4425" s="8" t="s">
        <v>2776</v>
      </c>
      <c r="H4425" s="8" t="s">
        <v>5161</v>
      </c>
      <c r="I4425" s="3">
        <v>25</v>
      </c>
      <c r="J4425" s="3" t="s">
        <v>6390</v>
      </c>
      <c r="K4425" s="17" t="str">
        <f>HYPERLINK("http://ictvonline.org/taxonomyHistory.asp?taxnode_id=20174909","ICTVonline=20174909")</f>
        <v>ICTVonline=20174909</v>
      </c>
      <c r="L4425" s="3">
        <v>4424</v>
      </c>
    </row>
    <row r="4426" spans="1:12" x14ac:dyDescent="0.15">
      <c r="A4426" s="1" t="s">
        <v>908</v>
      </c>
      <c r="B4426" s="1" t="s">
        <v>1781</v>
      </c>
      <c r="C4426" s="1" t="s">
        <v>1170</v>
      </c>
      <c r="D4426" s="1" t="s">
        <v>229</v>
      </c>
      <c r="E4426" s="1" t="s">
        <v>2752</v>
      </c>
      <c r="F4426" s="3">
        <v>0</v>
      </c>
      <c r="G4426" s="8" t="s">
        <v>2776</v>
      </c>
      <c r="H4426" s="8" t="s">
        <v>5159</v>
      </c>
      <c r="I4426" s="3">
        <v>29</v>
      </c>
      <c r="J4426" s="3" t="s">
        <v>6391</v>
      </c>
      <c r="K4426" s="17" t="str">
        <f>HYPERLINK("http://ictvonline.org/taxonomyHistory.asp?taxnode_id=20174910","ICTVonline=20174910")</f>
        <v>ICTVonline=20174910</v>
      </c>
      <c r="L4426" s="3">
        <v>4425</v>
      </c>
    </row>
    <row r="4427" spans="1:12" x14ac:dyDescent="0.15">
      <c r="A4427" s="1" t="s">
        <v>908</v>
      </c>
      <c r="B4427" s="1" t="s">
        <v>1781</v>
      </c>
      <c r="C4427" s="1" t="s">
        <v>1170</v>
      </c>
      <c r="D4427" s="1" t="s">
        <v>229</v>
      </c>
      <c r="E4427" s="1" t="s">
        <v>2753</v>
      </c>
      <c r="F4427" s="3">
        <v>0</v>
      </c>
      <c r="G4427" s="8" t="s">
        <v>2776</v>
      </c>
      <c r="H4427" s="8" t="s">
        <v>5159</v>
      </c>
      <c r="I4427" s="3">
        <v>29</v>
      </c>
      <c r="J4427" s="3" t="s">
        <v>6391</v>
      </c>
      <c r="K4427" s="17" t="str">
        <f>HYPERLINK("http://ictvonline.org/taxonomyHistory.asp?taxnode_id=20174911","ICTVonline=20174911")</f>
        <v>ICTVonline=20174911</v>
      </c>
      <c r="L4427" s="3">
        <v>4426</v>
      </c>
    </row>
    <row r="4428" spans="1:12" x14ac:dyDescent="0.15">
      <c r="A4428" s="1" t="s">
        <v>908</v>
      </c>
      <c r="B4428" s="1" t="s">
        <v>1781</v>
      </c>
      <c r="C4428" s="1" t="s">
        <v>1170</v>
      </c>
      <c r="D4428" s="1" t="s">
        <v>229</v>
      </c>
      <c r="E4428" s="1" t="s">
        <v>2754</v>
      </c>
      <c r="F4428" s="3">
        <v>0</v>
      </c>
      <c r="G4428" s="8" t="s">
        <v>2776</v>
      </c>
      <c r="H4428" s="8" t="s">
        <v>5159</v>
      </c>
      <c r="I4428" s="3">
        <v>29</v>
      </c>
      <c r="J4428" s="3" t="s">
        <v>6391</v>
      </c>
      <c r="K4428" s="17" t="str">
        <f>HYPERLINK("http://ictvonline.org/taxonomyHistory.asp?taxnode_id=20174912","ICTVonline=20174912")</f>
        <v>ICTVonline=20174912</v>
      </c>
      <c r="L4428" s="3">
        <v>4427</v>
      </c>
    </row>
    <row r="4429" spans="1:12" x14ac:dyDescent="0.15">
      <c r="A4429" s="1" t="s">
        <v>908</v>
      </c>
      <c r="B4429" s="1" t="s">
        <v>1781</v>
      </c>
      <c r="C4429" s="1" t="s">
        <v>1170</v>
      </c>
      <c r="D4429" s="1" t="s">
        <v>229</v>
      </c>
      <c r="E4429" s="1" t="s">
        <v>5064</v>
      </c>
      <c r="F4429" s="3">
        <v>0</v>
      </c>
      <c r="G4429" s="8" t="s">
        <v>2776</v>
      </c>
      <c r="H4429" s="8" t="s">
        <v>5159</v>
      </c>
      <c r="I4429" s="3">
        <v>31</v>
      </c>
      <c r="J4429" s="3" t="s">
        <v>6392</v>
      </c>
      <c r="K4429" s="17" t="str">
        <f>HYPERLINK("http://ictvonline.org/taxonomyHistory.asp?taxnode_id=20174913","ICTVonline=20174913")</f>
        <v>ICTVonline=20174913</v>
      </c>
      <c r="L4429" s="3">
        <v>4428</v>
      </c>
    </row>
    <row r="4430" spans="1:12" x14ac:dyDescent="0.15">
      <c r="A4430" s="1" t="s">
        <v>908</v>
      </c>
      <c r="B4430" s="1" t="s">
        <v>1781</v>
      </c>
      <c r="C4430" s="1" t="s">
        <v>1170</v>
      </c>
      <c r="D4430" s="1" t="s">
        <v>357</v>
      </c>
      <c r="E4430" s="1" t="s">
        <v>358</v>
      </c>
      <c r="F4430" s="3">
        <v>1</v>
      </c>
      <c r="G4430" s="8" t="s">
        <v>2776</v>
      </c>
      <c r="H4430" s="8" t="s">
        <v>5161</v>
      </c>
      <c r="I4430" s="3">
        <v>25</v>
      </c>
      <c r="J4430" s="3" t="s">
        <v>6390</v>
      </c>
      <c r="K4430" s="17" t="str">
        <f>HYPERLINK("http://ictvonline.org/taxonomyHistory.asp?taxnode_id=20174915","ICTVonline=20174915")</f>
        <v>ICTVonline=20174915</v>
      </c>
      <c r="L4430" s="3">
        <v>4429</v>
      </c>
    </row>
    <row r="4431" spans="1:12" x14ac:dyDescent="0.15">
      <c r="A4431" s="1" t="s">
        <v>908</v>
      </c>
      <c r="B4431" s="1" t="s">
        <v>1781</v>
      </c>
      <c r="C4431" s="1" t="s">
        <v>1170</v>
      </c>
      <c r="D4431" s="1" t="s">
        <v>357</v>
      </c>
      <c r="E4431" s="1" t="s">
        <v>359</v>
      </c>
      <c r="F4431" s="3">
        <v>0</v>
      </c>
      <c r="G4431" s="8" t="s">
        <v>2776</v>
      </c>
      <c r="H4431" s="8" t="s">
        <v>5161</v>
      </c>
      <c r="I4431" s="3">
        <v>25</v>
      </c>
      <c r="J4431" s="3" t="s">
        <v>6390</v>
      </c>
      <c r="K4431" s="17" t="str">
        <f>HYPERLINK("http://ictvonline.org/taxonomyHistory.asp?taxnode_id=20174916","ICTVonline=20174916")</f>
        <v>ICTVonline=20174916</v>
      </c>
      <c r="L4431" s="3">
        <v>4430</v>
      </c>
    </row>
    <row r="4432" spans="1:12" x14ac:dyDescent="0.15">
      <c r="A4432" s="1" t="s">
        <v>908</v>
      </c>
      <c r="B4432" s="1" t="s">
        <v>1781</v>
      </c>
      <c r="C4432" s="1" t="s">
        <v>1170</v>
      </c>
      <c r="D4432" s="1" t="s">
        <v>357</v>
      </c>
      <c r="E4432" s="1" t="s">
        <v>360</v>
      </c>
      <c r="F4432" s="3">
        <v>0</v>
      </c>
      <c r="G4432" s="8" t="s">
        <v>2776</v>
      </c>
      <c r="H4432" s="8" t="s">
        <v>5161</v>
      </c>
      <c r="I4432" s="3">
        <v>25</v>
      </c>
      <c r="J4432" s="3" t="s">
        <v>6390</v>
      </c>
      <c r="K4432" s="17" t="str">
        <f>HYPERLINK("http://ictvonline.org/taxonomyHistory.asp?taxnode_id=20174917","ICTVonline=20174917")</f>
        <v>ICTVonline=20174917</v>
      </c>
      <c r="L4432" s="3">
        <v>4431</v>
      </c>
    </row>
    <row r="4433" spans="1:12" x14ac:dyDescent="0.15">
      <c r="A4433" s="1" t="s">
        <v>908</v>
      </c>
      <c r="B4433" s="1" t="s">
        <v>1781</v>
      </c>
      <c r="C4433" s="1" t="s">
        <v>1169</v>
      </c>
      <c r="D4433" s="1" t="s">
        <v>727</v>
      </c>
      <c r="E4433" s="1" t="s">
        <v>728</v>
      </c>
      <c r="F4433" s="3">
        <v>1</v>
      </c>
      <c r="G4433" s="8" t="s">
        <v>2776</v>
      </c>
      <c r="H4433" s="8" t="s">
        <v>5161</v>
      </c>
      <c r="I4433" s="3">
        <v>25</v>
      </c>
      <c r="J4433" s="3" t="s">
        <v>6390</v>
      </c>
      <c r="K4433" s="17" t="str">
        <f>HYPERLINK("http://ictvonline.org/taxonomyHistory.asp?taxnode_id=20174920","ICTVonline=20174920")</f>
        <v>ICTVonline=20174920</v>
      </c>
      <c r="L4433" s="3">
        <v>4432</v>
      </c>
    </row>
    <row r="4434" spans="1:12" x14ac:dyDescent="0.15">
      <c r="A4434" s="1" t="s">
        <v>908</v>
      </c>
      <c r="B4434" s="1" t="s">
        <v>1781</v>
      </c>
      <c r="C4434" s="1" t="s">
        <v>1169</v>
      </c>
      <c r="D4434" s="1" t="s">
        <v>727</v>
      </c>
      <c r="E4434" s="1" t="s">
        <v>729</v>
      </c>
      <c r="F4434" s="3">
        <v>0</v>
      </c>
      <c r="G4434" s="8" t="s">
        <v>2776</v>
      </c>
      <c r="H4434" s="8" t="s">
        <v>5161</v>
      </c>
      <c r="I4434" s="3">
        <v>25</v>
      </c>
      <c r="J4434" s="3" t="s">
        <v>6390</v>
      </c>
      <c r="K4434" s="17" t="str">
        <f>HYPERLINK("http://ictvonline.org/taxonomyHistory.asp?taxnode_id=20174921","ICTVonline=20174921")</f>
        <v>ICTVonline=20174921</v>
      </c>
      <c r="L4434" s="3">
        <v>4433</v>
      </c>
    </row>
    <row r="4435" spans="1:12" x14ac:dyDescent="0.15">
      <c r="A4435" s="1" t="s">
        <v>908</v>
      </c>
      <c r="B4435" s="1" t="s">
        <v>1781</v>
      </c>
      <c r="C4435" s="1" t="s">
        <v>1169</v>
      </c>
      <c r="D4435" s="1" t="s">
        <v>727</v>
      </c>
      <c r="E4435" s="1" t="s">
        <v>730</v>
      </c>
      <c r="F4435" s="3">
        <v>0</v>
      </c>
      <c r="G4435" s="8" t="s">
        <v>2776</v>
      </c>
      <c r="H4435" s="8" t="s">
        <v>5161</v>
      </c>
      <c r="I4435" s="3">
        <v>25</v>
      </c>
      <c r="J4435" s="3" t="s">
        <v>6390</v>
      </c>
      <c r="K4435" s="17" t="str">
        <f>HYPERLINK("http://ictvonline.org/taxonomyHistory.asp?taxnode_id=20174922","ICTVonline=20174922")</f>
        <v>ICTVonline=20174922</v>
      </c>
      <c r="L4435" s="3">
        <v>4434</v>
      </c>
    </row>
    <row r="4436" spans="1:12" x14ac:dyDescent="0.15">
      <c r="A4436" s="1" t="s">
        <v>908</v>
      </c>
      <c r="B4436" s="1" t="s">
        <v>1781</v>
      </c>
      <c r="C4436" s="1" t="s">
        <v>1169</v>
      </c>
      <c r="D4436" s="1" t="s">
        <v>727</v>
      </c>
      <c r="E4436" s="1" t="s">
        <v>731</v>
      </c>
      <c r="F4436" s="3">
        <v>0</v>
      </c>
      <c r="G4436" s="8" t="s">
        <v>2776</v>
      </c>
      <c r="H4436" s="8" t="s">
        <v>5161</v>
      </c>
      <c r="I4436" s="3">
        <v>25</v>
      </c>
      <c r="J4436" s="3" t="s">
        <v>6390</v>
      </c>
      <c r="K4436" s="17" t="str">
        <f>HYPERLINK("http://ictvonline.org/taxonomyHistory.asp?taxnode_id=20174923","ICTVonline=20174923")</f>
        <v>ICTVonline=20174923</v>
      </c>
      <c r="L4436" s="3">
        <v>4435</v>
      </c>
    </row>
    <row r="4437" spans="1:12" x14ac:dyDescent="0.15">
      <c r="A4437" s="1" t="s">
        <v>908</v>
      </c>
      <c r="B4437" s="1" t="s">
        <v>1781</v>
      </c>
      <c r="C4437" s="1" t="s">
        <v>1169</v>
      </c>
      <c r="D4437" s="1" t="s">
        <v>727</v>
      </c>
      <c r="E4437" s="1" t="s">
        <v>732</v>
      </c>
      <c r="F4437" s="3">
        <v>0</v>
      </c>
      <c r="G4437" s="8" t="s">
        <v>2776</v>
      </c>
      <c r="H4437" s="8" t="s">
        <v>5161</v>
      </c>
      <c r="I4437" s="3">
        <v>25</v>
      </c>
      <c r="J4437" s="3" t="s">
        <v>6390</v>
      </c>
      <c r="K4437" s="17" t="str">
        <f>HYPERLINK("http://ictvonline.org/taxonomyHistory.asp?taxnode_id=20174924","ICTVonline=20174924")</f>
        <v>ICTVonline=20174924</v>
      </c>
      <c r="L4437" s="3">
        <v>4436</v>
      </c>
    </row>
    <row r="4438" spans="1:12" x14ac:dyDescent="0.15">
      <c r="A4438" s="1" t="s">
        <v>908</v>
      </c>
      <c r="B4438" s="1" t="s">
        <v>1781</v>
      </c>
      <c r="C4438" s="1" t="s">
        <v>1169</v>
      </c>
      <c r="D4438" s="1" t="s">
        <v>727</v>
      </c>
      <c r="E4438" s="1" t="s">
        <v>733</v>
      </c>
      <c r="F4438" s="3">
        <v>0</v>
      </c>
      <c r="G4438" s="8" t="s">
        <v>2776</v>
      </c>
      <c r="H4438" s="8" t="s">
        <v>5161</v>
      </c>
      <c r="I4438" s="3">
        <v>25</v>
      </c>
      <c r="J4438" s="3" t="s">
        <v>6390</v>
      </c>
      <c r="K4438" s="17" t="str">
        <f>HYPERLINK("http://ictvonline.org/taxonomyHistory.asp?taxnode_id=20174925","ICTVonline=20174925")</f>
        <v>ICTVonline=20174925</v>
      </c>
      <c r="L4438" s="3">
        <v>4437</v>
      </c>
    </row>
    <row r="4439" spans="1:12" x14ac:dyDescent="0.15">
      <c r="A4439" s="1" t="s">
        <v>908</v>
      </c>
      <c r="B4439" s="1" t="s">
        <v>1781</v>
      </c>
      <c r="C4439" s="1" t="s">
        <v>1169</v>
      </c>
      <c r="D4439" s="1" t="s">
        <v>727</v>
      </c>
      <c r="E4439" s="1" t="s">
        <v>734</v>
      </c>
      <c r="F4439" s="3">
        <v>0</v>
      </c>
      <c r="G4439" s="8" t="s">
        <v>2776</v>
      </c>
      <c r="H4439" s="8" t="s">
        <v>5161</v>
      </c>
      <c r="I4439" s="3">
        <v>25</v>
      </c>
      <c r="J4439" s="3" t="s">
        <v>6390</v>
      </c>
      <c r="K4439" s="17" t="str">
        <f>HYPERLINK("http://ictvonline.org/taxonomyHistory.asp?taxnode_id=20174926","ICTVonline=20174926")</f>
        <v>ICTVonline=20174926</v>
      </c>
      <c r="L4439" s="3">
        <v>4438</v>
      </c>
    </row>
    <row r="4440" spans="1:12" x14ac:dyDescent="0.15">
      <c r="A4440" s="1" t="s">
        <v>908</v>
      </c>
      <c r="B4440" s="1" t="s">
        <v>1781</v>
      </c>
      <c r="C4440" s="1" t="s">
        <v>1169</v>
      </c>
      <c r="D4440" s="1" t="s">
        <v>737</v>
      </c>
      <c r="E4440" s="1" t="s">
        <v>738</v>
      </c>
      <c r="F4440" s="3">
        <v>1</v>
      </c>
      <c r="G4440" s="8" t="s">
        <v>2776</v>
      </c>
      <c r="H4440" s="8" t="s">
        <v>5161</v>
      </c>
      <c r="I4440" s="3">
        <v>25</v>
      </c>
      <c r="J4440" s="3" t="s">
        <v>6390</v>
      </c>
      <c r="K4440" s="17" t="str">
        <f>HYPERLINK("http://ictvonline.org/taxonomyHistory.asp?taxnode_id=20174928","ICTVonline=20174928")</f>
        <v>ICTVonline=20174928</v>
      </c>
      <c r="L4440" s="3">
        <v>4439</v>
      </c>
    </row>
    <row r="4441" spans="1:12" x14ac:dyDescent="0.15">
      <c r="A4441" s="1" t="s">
        <v>908</v>
      </c>
      <c r="B4441" s="1" t="s">
        <v>1781</v>
      </c>
      <c r="C4441" s="1" t="s">
        <v>1169</v>
      </c>
      <c r="D4441" s="1" t="s">
        <v>737</v>
      </c>
      <c r="E4441" s="1" t="s">
        <v>739</v>
      </c>
      <c r="F4441" s="3">
        <v>0</v>
      </c>
      <c r="G4441" s="8" t="s">
        <v>2776</v>
      </c>
      <c r="H4441" s="8" t="s">
        <v>5161</v>
      </c>
      <c r="I4441" s="3">
        <v>25</v>
      </c>
      <c r="J4441" s="3" t="s">
        <v>6390</v>
      </c>
      <c r="K4441" s="17" t="str">
        <f>HYPERLINK("http://ictvonline.org/taxonomyHistory.asp?taxnode_id=20174929","ICTVonline=20174929")</f>
        <v>ICTVonline=20174929</v>
      </c>
      <c r="L4441" s="3">
        <v>4440</v>
      </c>
    </row>
    <row r="4442" spans="1:12" x14ac:dyDescent="0.15">
      <c r="A4442" s="1" t="s">
        <v>908</v>
      </c>
      <c r="B4442" s="1" t="s">
        <v>1781</v>
      </c>
      <c r="C4442" s="1" t="s">
        <v>1169</v>
      </c>
      <c r="D4442" s="1" t="s">
        <v>740</v>
      </c>
      <c r="E4442" s="1" t="s">
        <v>1612</v>
      </c>
      <c r="F4442" s="3">
        <v>1</v>
      </c>
      <c r="G4442" s="8" t="s">
        <v>2776</v>
      </c>
      <c r="H4442" s="8" t="s">
        <v>5161</v>
      </c>
      <c r="I4442" s="3">
        <v>25</v>
      </c>
      <c r="J4442" s="3" t="s">
        <v>6390</v>
      </c>
      <c r="K4442" s="17" t="str">
        <f>HYPERLINK("http://ictvonline.org/taxonomyHistory.asp?taxnode_id=20174931","ICTVonline=20174931")</f>
        <v>ICTVonline=20174931</v>
      </c>
      <c r="L4442" s="3">
        <v>4441</v>
      </c>
    </row>
    <row r="4443" spans="1:12" x14ac:dyDescent="0.15">
      <c r="A4443" s="1" t="s">
        <v>908</v>
      </c>
      <c r="B4443" s="1" t="s">
        <v>1781</v>
      </c>
      <c r="C4443" s="1" t="s">
        <v>1169</v>
      </c>
      <c r="D4443" s="1" t="s">
        <v>740</v>
      </c>
      <c r="E4443" s="1" t="s">
        <v>1609</v>
      </c>
      <c r="F4443" s="3">
        <v>0</v>
      </c>
      <c r="G4443" s="8" t="s">
        <v>2776</v>
      </c>
      <c r="H4443" s="8" t="s">
        <v>5161</v>
      </c>
      <c r="I4443" s="3">
        <v>25</v>
      </c>
      <c r="J4443" s="3" t="s">
        <v>6390</v>
      </c>
      <c r="K4443" s="17" t="str">
        <f>HYPERLINK("http://ictvonline.org/taxonomyHistory.asp?taxnode_id=20174932","ICTVonline=20174932")</f>
        <v>ICTVonline=20174932</v>
      </c>
      <c r="L4443" s="3">
        <v>4442</v>
      </c>
    </row>
    <row r="4444" spans="1:12" x14ac:dyDescent="0.15">
      <c r="A4444" s="1" t="s">
        <v>908</v>
      </c>
      <c r="B4444" s="1" t="s">
        <v>1781</v>
      </c>
      <c r="C4444" s="1" t="s">
        <v>1169</v>
      </c>
      <c r="D4444" s="1" t="s">
        <v>740</v>
      </c>
      <c r="E4444" s="1" t="s">
        <v>1923</v>
      </c>
      <c r="F4444" s="3">
        <v>0</v>
      </c>
      <c r="G4444" s="8" t="s">
        <v>2776</v>
      </c>
      <c r="H4444" s="8" t="s">
        <v>5161</v>
      </c>
      <c r="I4444" s="3">
        <v>25</v>
      </c>
      <c r="J4444" s="3" t="s">
        <v>6390</v>
      </c>
      <c r="K4444" s="17" t="str">
        <f>HYPERLINK("http://ictvonline.org/taxonomyHistory.asp?taxnode_id=20174933","ICTVonline=20174933")</f>
        <v>ICTVonline=20174933</v>
      </c>
      <c r="L4444" s="3">
        <v>4443</v>
      </c>
    </row>
    <row r="4445" spans="1:12" x14ac:dyDescent="0.15">
      <c r="A4445" s="1" t="s">
        <v>908</v>
      </c>
      <c r="B4445" s="1" t="s">
        <v>1781</v>
      </c>
      <c r="C4445" s="1" t="s">
        <v>1169</v>
      </c>
      <c r="D4445" s="1" t="s">
        <v>740</v>
      </c>
      <c r="E4445" s="1" t="s">
        <v>1924</v>
      </c>
      <c r="F4445" s="3">
        <v>0</v>
      </c>
      <c r="G4445" s="8" t="s">
        <v>2776</v>
      </c>
      <c r="H4445" s="8" t="s">
        <v>5161</v>
      </c>
      <c r="I4445" s="3">
        <v>25</v>
      </c>
      <c r="J4445" s="3" t="s">
        <v>6390</v>
      </c>
      <c r="K4445" s="17" t="str">
        <f>HYPERLINK("http://ictvonline.org/taxonomyHistory.asp?taxnode_id=20174934","ICTVonline=20174934")</f>
        <v>ICTVonline=20174934</v>
      </c>
      <c r="L4445" s="3">
        <v>4444</v>
      </c>
    </row>
    <row r="4446" spans="1:12" x14ac:dyDescent="0.15">
      <c r="A4446" s="1" t="s">
        <v>908</v>
      </c>
      <c r="B4446" s="1" t="s">
        <v>1781</v>
      </c>
      <c r="C4446" s="1" t="s">
        <v>1169</v>
      </c>
      <c r="D4446" s="1" t="s">
        <v>740</v>
      </c>
      <c r="E4446" s="1" t="s">
        <v>1925</v>
      </c>
      <c r="F4446" s="3">
        <v>0</v>
      </c>
      <c r="G4446" s="8" t="s">
        <v>2776</v>
      </c>
      <c r="H4446" s="8" t="s">
        <v>5161</v>
      </c>
      <c r="I4446" s="3">
        <v>25</v>
      </c>
      <c r="J4446" s="3" t="s">
        <v>6390</v>
      </c>
      <c r="K4446" s="17" t="str">
        <f>HYPERLINK("http://ictvonline.org/taxonomyHistory.asp?taxnode_id=20174935","ICTVonline=20174935")</f>
        <v>ICTVonline=20174935</v>
      </c>
      <c r="L4446" s="3">
        <v>4445</v>
      </c>
    </row>
    <row r="4447" spans="1:12" x14ac:dyDescent="0.15">
      <c r="A4447" s="1" t="s">
        <v>908</v>
      </c>
      <c r="B4447" s="1" t="s">
        <v>1781</v>
      </c>
      <c r="C4447" s="1" t="s">
        <v>1169</v>
      </c>
      <c r="D4447" s="1" t="s">
        <v>740</v>
      </c>
      <c r="E4447" s="1" t="s">
        <v>1926</v>
      </c>
      <c r="F4447" s="3">
        <v>0</v>
      </c>
      <c r="G4447" s="8" t="s">
        <v>2776</v>
      </c>
      <c r="H4447" s="8" t="s">
        <v>5161</v>
      </c>
      <c r="I4447" s="3">
        <v>25</v>
      </c>
      <c r="J4447" s="3" t="s">
        <v>6390</v>
      </c>
      <c r="K4447" s="17" t="str">
        <f>HYPERLINK("http://ictvonline.org/taxonomyHistory.asp?taxnode_id=20174936","ICTVonline=20174936")</f>
        <v>ICTVonline=20174936</v>
      </c>
      <c r="L4447" s="3">
        <v>4446</v>
      </c>
    </row>
    <row r="4448" spans="1:12" x14ac:dyDescent="0.15">
      <c r="A4448" s="1" t="s">
        <v>908</v>
      </c>
      <c r="B4448" s="1" t="s">
        <v>1781</v>
      </c>
      <c r="C4448" s="1" t="s">
        <v>1169</v>
      </c>
      <c r="D4448" s="1" t="s">
        <v>740</v>
      </c>
      <c r="E4448" s="1" t="s">
        <v>1927</v>
      </c>
      <c r="F4448" s="3">
        <v>0</v>
      </c>
      <c r="G4448" s="8" t="s">
        <v>2776</v>
      </c>
      <c r="H4448" s="8" t="s">
        <v>5161</v>
      </c>
      <c r="I4448" s="3">
        <v>25</v>
      </c>
      <c r="J4448" s="3" t="s">
        <v>6390</v>
      </c>
      <c r="K4448" s="17" t="str">
        <f>HYPERLINK("http://ictvonline.org/taxonomyHistory.asp?taxnode_id=20174937","ICTVonline=20174937")</f>
        <v>ICTVonline=20174937</v>
      </c>
      <c r="L4448" s="3">
        <v>4447</v>
      </c>
    </row>
    <row r="4449" spans="1:12" x14ac:dyDescent="0.15">
      <c r="A4449" s="1" t="s">
        <v>908</v>
      </c>
      <c r="B4449" s="1" t="s">
        <v>1781</v>
      </c>
      <c r="C4449" s="1" t="s">
        <v>1169</v>
      </c>
      <c r="D4449" s="1" t="s">
        <v>740</v>
      </c>
      <c r="E4449" s="1" t="s">
        <v>1613</v>
      </c>
      <c r="F4449" s="3">
        <v>0</v>
      </c>
      <c r="G4449" s="8" t="s">
        <v>2776</v>
      </c>
      <c r="H4449" s="8" t="s">
        <v>5161</v>
      </c>
      <c r="I4449" s="3">
        <v>25</v>
      </c>
      <c r="J4449" s="3" t="s">
        <v>6390</v>
      </c>
      <c r="K4449" s="17" t="str">
        <f>HYPERLINK("http://ictvonline.org/taxonomyHistory.asp?taxnode_id=20174938","ICTVonline=20174938")</f>
        <v>ICTVonline=20174938</v>
      </c>
      <c r="L4449" s="3">
        <v>4448</v>
      </c>
    </row>
    <row r="4450" spans="1:12" x14ac:dyDescent="0.15">
      <c r="A4450" s="1" t="s">
        <v>908</v>
      </c>
      <c r="B4450" s="1" t="s">
        <v>1781</v>
      </c>
      <c r="C4450" s="1" t="s">
        <v>1169</v>
      </c>
      <c r="D4450" s="1" t="s">
        <v>740</v>
      </c>
      <c r="E4450" s="1" t="s">
        <v>1614</v>
      </c>
      <c r="F4450" s="3">
        <v>0</v>
      </c>
      <c r="G4450" s="8" t="s">
        <v>2776</v>
      </c>
      <c r="H4450" s="8" t="s">
        <v>5161</v>
      </c>
      <c r="I4450" s="3">
        <v>25</v>
      </c>
      <c r="J4450" s="3" t="s">
        <v>6390</v>
      </c>
      <c r="K4450" s="17" t="str">
        <f>HYPERLINK("http://ictvonline.org/taxonomyHistory.asp?taxnode_id=20174939","ICTVonline=20174939")</f>
        <v>ICTVonline=20174939</v>
      </c>
      <c r="L4450" s="3">
        <v>4449</v>
      </c>
    </row>
    <row r="4451" spans="1:12" x14ac:dyDescent="0.15">
      <c r="A4451" s="1" t="s">
        <v>908</v>
      </c>
      <c r="B4451" s="1" t="s">
        <v>1781</v>
      </c>
      <c r="C4451" s="1" t="s">
        <v>1169</v>
      </c>
      <c r="D4451" s="1" t="s">
        <v>740</v>
      </c>
      <c r="E4451" s="1" t="s">
        <v>1840</v>
      </c>
      <c r="F4451" s="3">
        <v>0</v>
      </c>
      <c r="G4451" s="8" t="s">
        <v>2776</v>
      </c>
      <c r="H4451" s="8" t="s">
        <v>5161</v>
      </c>
      <c r="I4451" s="3">
        <v>25</v>
      </c>
      <c r="J4451" s="3" t="s">
        <v>6390</v>
      </c>
      <c r="K4451" s="17" t="str">
        <f>HYPERLINK("http://ictvonline.org/taxonomyHistory.asp?taxnode_id=20174940","ICTVonline=20174940")</f>
        <v>ICTVonline=20174940</v>
      </c>
      <c r="L4451" s="3">
        <v>4450</v>
      </c>
    </row>
    <row r="4452" spans="1:12" x14ac:dyDescent="0.15">
      <c r="A4452" s="1" t="s">
        <v>908</v>
      </c>
      <c r="B4452" s="1" t="s">
        <v>1781</v>
      </c>
      <c r="C4452" s="1" t="s">
        <v>1169</v>
      </c>
      <c r="D4452" s="1" t="s">
        <v>740</v>
      </c>
      <c r="E4452" s="1" t="s">
        <v>1841</v>
      </c>
      <c r="F4452" s="3">
        <v>0</v>
      </c>
      <c r="G4452" s="8" t="s">
        <v>2776</v>
      </c>
      <c r="H4452" s="8" t="s">
        <v>5161</v>
      </c>
      <c r="I4452" s="3">
        <v>25</v>
      </c>
      <c r="J4452" s="3" t="s">
        <v>6390</v>
      </c>
      <c r="K4452" s="17" t="str">
        <f>HYPERLINK("http://ictvonline.org/taxonomyHistory.asp?taxnode_id=20174941","ICTVonline=20174941")</f>
        <v>ICTVonline=20174941</v>
      </c>
      <c r="L4452" s="3">
        <v>4451</v>
      </c>
    </row>
    <row r="4453" spans="1:12" x14ac:dyDescent="0.15">
      <c r="A4453" s="1" t="s">
        <v>908</v>
      </c>
      <c r="B4453" s="1" t="s">
        <v>1781</v>
      </c>
      <c r="C4453" s="1" t="s">
        <v>1169</v>
      </c>
      <c r="D4453" s="1" t="s">
        <v>740</v>
      </c>
      <c r="E4453" s="1" t="s">
        <v>1842</v>
      </c>
      <c r="F4453" s="3">
        <v>0</v>
      </c>
      <c r="G4453" s="8" t="s">
        <v>2776</v>
      </c>
      <c r="H4453" s="8" t="s">
        <v>5161</v>
      </c>
      <c r="I4453" s="3">
        <v>25</v>
      </c>
      <c r="J4453" s="3" t="s">
        <v>6390</v>
      </c>
      <c r="K4453" s="17" t="str">
        <f>HYPERLINK("http://ictvonline.org/taxonomyHistory.asp?taxnode_id=20174942","ICTVonline=20174942")</f>
        <v>ICTVonline=20174942</v>
      </c>
      <c r="L4453" s="3">
        <v>4452</v>
      </c>
    </row>
    <row r="4454" spans="1:12" x14ac:dyDescent="0.15">
      <c r="A4454" s="1" t="s">
        <v>908</v>
      </c>
      <c r="B4454" s="1" t="s">
        <v>1781</v>
      </c>
      <c r="C4454" s="1" t="s">
        <v>1169</v>
      </c>
      <c r="D4454" s="1" t="s">
        <v>740</v>
      </c>
      <c r="E4454" s="1" t="s">
        <v>1605</v>
      </c>
      <c r="F4454" s="3">
        <v>0</v>
      </c>
      <c r="G4454" s="8" t="s">
        <v>2776</v>
      </c>
      <c r="H4454" s="8" t="s">
        <v>5161</v>
      </c>
      <c r="I4454" s="3">
        <v>25</v>
      </c>
      <c r="J4454" s="3" t="s">
        <v>6390</v>
      </c>
      <c r="K4454" s="17" t="str">
        <f>HYPERLINK("http://ictvonline.org/taxonomyHistory.asp?taxnode_id=20174943","ICTVonline=20174943")</f>
        <v>ICTVonline=20174943</v>
      </c>
      <c r="L4454" s="3">
        <v>4453</v>
      </c>
    </row>
    <row r="4455" spans="1:12" x14ac:dyDescent="0.15">
      <c r="A4455" s="1" t="s">
        <v>908</v>
      </c>
      <c r="B4455" s="1" t="s">
        <v>1781</v>
      </c>
      <c r="C4455" s="1" t="s">
        <v>1169</v>
      </c>
      <c r="D4455" s="1" t="s">
        <v>740</v>
      </c>
      <c r="E4455" s="1" t="s">
        <v>1606</v>
      </c>
      <c r="F4455" s="3">
        <v>0</v>
      </c>
      <c r="G4455" s="8" t="s">
        <v>2776</v>
      </c>
      <c r="H4455" s="8" t="s">
        <v>5161</v>
      </c>
      <c r="I4455" s="3">
        <v>25</v>
      </c>
      <c r="J4455" s="3" t="s">
        <v>6390</v>
      </c>
      <c r="K4455" s="17" t="str">
        <f>HYPERLINK("http://ictvonline.org/taxonomyHistory.asp?taxnode_id=20174944","ICTVonline=20174944")</f>
        <v>ICTVonline=20174944</v>
      </c>
      <c r="L4455" s="3">
        <v>4454</v>
      </c>
    </row>
    <row r="4456" spans="1:12" x14ac:dyDescent="0.15">
      <c r="A4456" s="1" t="s">
        <v>908</v>
      </c>
      <c r="B4456" s="1" t="s">
        <v>1781</v>
      </c>
      <c r="C4456" s="1" t="s">
        <v>1169</v>
      </c>
      <c r="D4456" s="1" t="s">
        <v>740</v>
      </c>
      <c r="E4456" s="1" t="s">
        <v>1607</v>
      </c>
      <c r="F4456" s="3">
        <v>0</v>
      </c>
      <c r="G4456" s="8" t="s">
        <v>2776</v>
      </c>
      <c r="H4456" s="8" t="s">
        <v>5161</v>
      </c>
      <c r="I4456" s="3">
        <v>25</v>
      </c>
      <c r="J4456" s="3" t="s">
        <v>6390</v>
      </c>
      <c r="K4456" s="17" t="str">
        <f>HYPERLINK("http://ictvonline.org/taxonomyHistory.asp?taxnode_id=20174945","ICTVonline=20174945")</f>
        <v>ICTVonline=20174945</v>
      </c>
      <c r="L4456" s="3">
        <v>4455</v>
      </c>
    </row>
    <row r="4457" spans="1:12" x14ac:dyDescent="0.15">
      <c r="A4457" s="1" t="s">
        <v>908</v>
      </c>
      <c r="B4457" s="1" t="s">
        <v>1781</v>
      </c>
      <c r="C4457" s="1" t="s">
        <v>1169</v>
      </c>
      <c r="D4457" s="1" t="s">
        <v>740</v>
      </c>
      <c r="E4457" s="1" t="s">
        <v>1608</v>
      </c>
      <c r="F4457" s="3">
        <v>0</v>
      </c>
      <c r="G4457" s="8" t="s">
        <v>2776</v>
      </c>
      <c r="H4457" s="8" t="s">
        <v>5161</v>
      </c>
      <c r="I4457" s="3">
        <v>25</v>
      </c>
      <c r="J4457" s="3" t="s">
        <v>6390</v>
      </c>
      <c r="K4457" s="17" t="str">
        <f>HYPERLINK("http://ictvonline.org/taxonomyHistory.asp?taxnode_id=20174946","ICTVonline=20174946")</f>
        <v>ICTVonline=20174946</v>
      </c>
      <c r="L4457" s="3">
        <v>4456</v>
      </c>
    </row>
    <row r="4458" spans="1:12" x14ac:dyDescent="0.15">
      <c r="A4458" s="1" t="s">
        <v>908</v>
      </c>
      <c r="B4458" s="1" t="s">
        <v>1781</v>
      </c>
      <c r="C4458" s="1" t="s">
        <v>1169</v>
      </c>
      <c r="D4458" s="1" t="s">
        <v>1615</v>
      </c>
      <c r="E4458" s="1" t="s">
        <v>1844</v>
      </c>
      <c r="F4458" s="3">
        <v>1</v>
      </c>
      <c r="G4458" s="8" t="s">
        <v>2776</v>
      </c>
      <c r="H4458" s="8" t="s">
        <v>5161</v>
      </c>
      <c r="I4458" s="3">
        <v>25</v>
      </c>
      <c r="J4458" s="3" t="s">
        <v>6390</v>
      </c>
      <c r="K4458" s="17" t="str">
        <f>HYPERLINK("http://ictvonline.org/taxonomyHistory.asp?taxnode_id=20174948","ICTVonline=20174948")</f>
        <v>ICTVonline=20174948</v>
      </c>
      <c r="L4458" s="3">
        <v>4457</v>
      </c>
    </row>
    <row r="4459" spans="1:12" x14ac:dyDescent="0.15">
      <c r="A4459" s="1" t="s">
        <v>908</v>
      </c>
      <c r="B4459" s="1" t="s">
        <v>1781</v>
      </c>
      <c r="C4459" s="1" t="s">
        <v>1169</v>
      </c>
      <c r="D4459" s="1" t="s">
        <v>1845</v>
      </c>
      <c r="E4459" s="1" t="s">
        <v>1846</v>
      </c>
      <c r="F4459" s="3">
        <v>1</v>
      </c>
      <c r="G4459" s="8" t="s">
        <v>2776</v>
      </c>
      <c r="H4459" s="8" t="s">
        <v>5161</v>
      </c>
      <c r="I4459" s="3">
        <v>25</v>
      </c>
      <c r="J4459" s="3" t="s">
        <v>6390</v>
      </c>
      <c r="K4459" s="17" t="str">
        <f>HYPERLINK("http://ictvonline.org/taxonomyHistory.asp?taxnode_id=20174950","ICTVonline=20174950")</f>
        <v>ICTVonline=20174950</v>
      </c>
      <c r="L4459" s="3">
        <v>4458</v>
      </c>
    </row>
    <row r="4460" spans="1:12" x14ac:dyDescent="0.15">
      <c r="A4460" s="1" t="s">
        <v>908</v>
      </c>
      <c r="B4460" s="1" t="s">
        <v>1781</v>
      </c>
      <c r="C4460" s="1" t="s">
        <v>1169</v>
      </c>
      <c r="D4460" s="1" t="s">
        <v>1845</v>
      </c>
      <c r="E4460" s="1" t="s">
        <v>1847</v>
      </c>
      <c r="F4460" s="3">
        <v>0</v>
      </c>
      <c r="G4460" s="8" t="s">
        <v>2776</v>
      </c>
      <c r="H4460" s="8" t="s">
        <v>5161</v>
      </c>
      <c r="I4460" s="3">
        <v>25</v>
      </c>
      <c r="J4460" s="3" t="s">
        <v>6390</v>
      </c>
      <c r="K4460" s="17" t="str">
        <f>HYPERLINK("http://ictvonline.org/taxonomyHistory.asp?taxnode_id=20174951","ICTVonline=20174951")</f>
        <v>ICTVonline=20174951</v>
      </c>
      <c r="L4460" s="3">
        <v>4459</v>
      </c>
    </row>
    <row r="4461" spans="1:12" x14ac:dyDescent="0.15">
      <c r="A4461" s="1" t="s">
        <v>908</v>
      </c>
      <c r="B4461" s="1" t="s">
        <v>1781</v>
      </c>
      <c r="C4461" s="1" t="s">
        <v>1169</v>
      </c>
      <c r="D4461" s="1" t="s">
        <v>1845</v>
      </c>
      <c r="E4461" s="1" t="s">
        <v>1620</v>
      </c>
      <c r="F4461" s="3">
        <v>0</v>
      </c>
      <c r="G4461" s="8" t="s">
        <v>2776</v>
      </c>
      <c r="H4461" s="8" t="s">
        <v>5161</v>
      </c>
      <c r="I4461" s="3">
        <v>25</v>
      </c>
      <c r="J4461" s="3" t="s">
        <v>6390</v>
      </c>
      <c r="K4461" s="17" t="str">
        <f>HYPERLINK("http://ictvonline.org/taxonomyHistory.asp?taxnode_id=20174952","ICTVonline=20174952")</f>
        <v>ICTVonline=20174952</v>
      </c>
      <c r="L4461" s="3">
        <v>4460</v>
      </c>
    </row>
    <row r="4462" spans="1:12" x14ac:dyDescent="0.15">
      <c r="A4462" s="1" t="s">
        <v>908</v>
      </c>
      <c r="B4462" s="1" t="s">
        <v>1781</v>
      </c>
      <c r="C4462" s="1" t="s">
        <v>1169</v>
      </c>
      <c r="D4462" s="1" t="s">
        <v>1845</v>
      </c>
      <c r="E4462" s="1" t="s">
        <v>1621</v>
      </c>
      <c r="F4462" s="3">
        <v>0</v>
      </c>
      <c r="G4462" s="8" t="s">
        <v>2776</v>
      </c>
      <c r="H4462" s="8" t="s">
        <v>5161</v>
      </c>
      <c r="I4462" s="3">
        <v>25</v>
      </c>
      <c r="J4462" s="3" t="s">
        <v>6390</v>
      </c>
      <c r="K4462" s="17" t="str">
        <f>HYPERLINK("http://ictvonline.org/taxonomyHistory.asp?taxnode_id=20174953","ICTVonline=20174953")</f>
        <v>ICTVonline=20174953</v>
      </c>
      <c r="L4462" s="3">
        <v>4461</v>
      </c>
    </row>
    <row r="4463" spans="1:12" x14ac:dyDescent="0.15">
      <c r="A4463" s="1" t="s">
        <v>908</v>
      </c>
      <c r="B4463" s="1" t="s">
        <v>1781</v>
      </c>
      <c r="C4463" s="1" t="s">
        <v>1169</v>
      </c>
      <c r="D4463" s="1" t="s">
        <v>1845</v>
      </c>
      <c r="E4463" s="1" t="s">
        <v>1622</v>
      </c>
      <c r="F4463" s="3">
        <v>0</v>
      </c>
      <c r="G4463" s="8" t="s">
        <v>2776</v>
      </c>
      <c r="H4463" s="8" t="s">
        <v>5161</v>
      </c>
      <c r="I4463" s="3">
        <v>25</v>
      </c>
      <c r="J4463" s="3" t="s">
        <v>6390</v>
      </c>
      <c r="K4463" s="17" t="str">
        <f>HYPERLINK("http://ictvonline.org/taxonomyHistory.asp?taxnode_id=20174954","ICTVonline=20174954")</f>
        <v>ICTVonline=20174954</v>
      </c>
      <c r="L4463" s="3">
        <v>4462</v>
      </c>
    </row>
    <row r="4464" spans="1:12" x14ac:dyDescent="0.15">
      <c r="A4464" s="1" t="s">
        <v>908</v>
      </c>
      <c r="B4464" s="1" t="s">
        <v>1781</v>
      </c>
      <c r="C4464" s="1" t="s">
        <v>1169</v>
      </c>
      <c r="D4464" s="1" t="s">
        <v>1845</v>
      </c>
      <c r="E4464" s="1" t="s">
        <v>1534</v>
      </c>
      <c r="F4464" s="3">
        <v>0</v>
      </c>
      <c r="G4464" s="8" t="s">
        <v>2776</v>
      </c>
      <c r="H4464" s="8" t="s">
        <v>5161</v>
      </c>
      <c r="I4464" s="3">
        <v>25</v>
      </c>
      <c r="J4464" s="3" t="s">
        <v>6390</v>
      </c>
      <c r="K4464" s="17" t="str">
        <f>HYPERLINK("http://ictvonline.org/taxonomyHistory.asp?taxnode_id=20174955","ICTVonline=20174955")</f>
        <v>ICTVonline=20174955</v>
      </c>
      <c r="L4464" s="3">
        <v>4463</v>
      </c>
    </row>
    <row r="4465" spans="1:12" x14ac:dyDescent="0.15">
      <c r="A4465" s="1" t="s">
        <v>908</v>
      </c>
      <c r="B4465" s="1" t="s">
        <v>1781</v>
      </c>
      <c r="C4465" s="1" t="s">
        <v>1169</v>
      </c>
      <c r="D4465" s="1" t="s">
        <v>1845</v>
      </c>
      <c r="E4465" s="1" t="s">
        <v>1535</v>
      </c>
      <c r="F4465" s="3">
        <v>0</v>
      </c>
      <c r="G4465" s="8" t="s">
        <v>2776</v>
      </c>
      <c r="H4465" s="8" t="s">
        <v>5161</v>
      </c>
      <c r="I4465" s="3">
        <v>25</v>
      </c>
      <c r="J4465" s="3" t="s">
        <v>6390</v>
      </c>
      <c r="K4465" s="17" t="str">
        <f>HYPERLINK("http://ictvonline.org/taxonomyHistory.asp?taxnode_id=20174956","ICTVonline=20174956")</f>
        <v>ICTVonline=20174956</v>
      </c>
      <c r="L4465" s="3">
        <v>4464</v>
      </c>
    </row>
    <row r="4466" spans="1:12" x14ac:dyDescent="0.15">
      <c r="A4466" s="1" t="s">
        <v>908</v>
      </c>
      <c r="B4466" s="1" t="s">
        <v>1781</v>
      </c>
      <c r="C4466" s="1" t="s">
        <v>1169</v>
      </c>
      <c r="D4466" s="1" t="s">
        <v>1845</v>
      </c>
      <c r="E4466" s="1" t="s">
        <v>1623</v>
      </c>
      <c r="F4466" s="3">
        <v>0</v>
      </c>
      <c r="G4466" s="8" t="s">
        <v>2776</v>
      </c>
      <c r="H4466" s="8" t="s">
        <v>5161</v>
      </c>
      <c r="I4466" s="3">
        <v>25</v>
      </c>
      <c r="J4466" s="3" t="s">
        <v>6390</v>
      </c>
      <c r="K4466" s="17" t="str">
        <f>HYPERLINK("http://ictvonline.org/taxonomyHistory.asp?taxnode_id=20174957","ICTVonline=20174957")</f>
        <v>ICTVonline=20174957</v>
      </c>
      <c r="L4466" s="3">
        <v>4465</v>
      </c>
    </row>
    <row r="4467" spans="1:12" x14ac:dyDescent="0.15">
      <c r="A4467" s="1" t="s">
        <v>908</v>
      </c>
      <c r="B4467" s="1" t="s">
        <v>1781</v>
      </c>
      <c r="C4467" s="1" t="s">
        <v>1169</v>
      </c>
      <c r="D4467" s="1" t="s">
        <v>1845</v>
      </c>
      <c r="E4467" s="1" t="s">
        <v>4153</v>
      </c>
      <c r="F4467" s="3">
        <v>0</v>
      </c>
      <c r="G4467" s="8" t="s">
        <v>2776</v>
      </c>
      <c r="H4467" s="8" t="s">
        <v>5159</v>
      </c>
      <c r="I4467" s="3">
        <v>30</v>
      </c>
      <c r="J4467" s="3" t="s">
        <v>6393</v>
      </c>
      <c r="K4467" s="17" t="str">
        <f>HYPERLINK("http://ictvonline.org/taxonomyHistory.asp?taxnode_id=20174958","ICTVonline=20174958")</f>
        <v>ICTVonline=20174958</v>
      </c>
      <c r="L4467" s="3">
        <v>4466</v>
      </c>
    </row>
    <row r="4468" spans="1:12" x14ac:dyDescent="0.15">
      <c r="A4468" s="1" t="s">
        <v>908</v>
      </c>
      <c r="B4468" s="1" t="s">
        <v>1781</v>
      </c>
      <c r="C4468" s="1" t="s">
        <v>1169</v>
      </c>
      <c r="D4468" s="1" t="s">
        <v>1624</v>
      </c>
      <c r="E4468" s="1" t="s">
        <v>1372</v>
      </c>
      <c r="F4468" s="3">
        <v>1</v>
      </c>
      <c r="G4468" s="8" t="s">
        <v>2776</v>
      </c>
      <c r="H4468" s="8" t="s">
        <v>5161</v>
      </c>
      <c r="I4468" s="3">
        <v>25</v>
      </c>
      <c r="J4468" s="3" t="s">
        <v>6390</v>
      </c>
      <c r="K4468" s="17" t="str">
        <f>HYPERLINK("http://ictvonline.org/taxonomyHistory.asp?taxnode_id=20174960","ICTVonline=20174960")</f>
        <v>ICTVonline=20174960</v>
      </c>
      <c r="L4468" s="3">
        <v>4467</v>
      </c>
    </row>
    <row r="4469" spans="1:12" x14ac:dyDescent="0.15">
      <c r="A4469" s="1" t="s">
        <v>908</v>
      </c>
      <c r="B4469" s="1" t="s">
        <v>1781</v>
      </c>
      <c r="C4469" s="1" t="s">
        <v>1169</v>
      </c>
      <c r="D4469" s="1" t="s">
        <v>1624</v>
      </c>
      <c r="E4469" s="1" t="s">
        <v>1373</v>
      </c>
      <c r="F4469" s="3">
        <v>0</v>
      </c>
      <c r="G4469" s="8" t="s">
        <v>2776</v>
      </c>
      <c r="H4469" s="8" t="s">
        <v>5161</v>
      </c>
      <c r="I4469" s="3">
        <v>25</v>
      </c>
      <c r="J4469" s="3" t="s">
        <v>6390</v>
      </c>
      <c r="K4469" s="17" t="str">
        <f>HYPERLINK("http://ictvonline.org/taxonomyHistory.asp?taxnode_id=20174961","ICTVonline=20174961")</f>
        <v>ICTVonline=20174961</v>
      </c>
      <c r="L4469" s="3">
        <v>4468</v>
      </c>
    </row>
    <row r="4470" spans="1:12" x14ac:dyDescent="0.15">
      <c r="A4470" s="1" t="s">
        <v>908</v>
      </c>
      <c r="B4470" s="1" t="s">
        <v>1781</v>
      </c>
      <c r="C4470" s="1" t="s">
        <v>1169</v>
      </c>
      <c r="D4470" s="1" t="s">
        <v>1624</v>
      </c>
      <c r="E4470" s="1" t="s">
        <v>1374</v>
      </c>
      <c r="F4470" s="3">
        <v>0</v>
      </c>
      <c r="G4470" s="8" t="s">
        <v>2776</v>
      </c>
      <c r="H4470" s="8" t="s">
        <v>5161</v>
      </c>
      <c r="I4470" s="3">
        <v>25</v>
      </c>
      <c r="J4470" s="3" t="s">
        <v>6390</v>
      </c>
      <c r="K4470" s="17" t="str">
        <f>HYPERLINK("http://ictvonline.org/taxonomyHistory.asp?taxnode_id=20174962","ICTVonline=20174962")</f>
        <v>ICTVonline=20174962</v>
      </c>
      <c r="L4470" s="3">
        <v>4469</v>
      </c>
    </row>
    <row r="4471" spans="1:12" x14ac:dyDescent="0.15">
      <c r="A4471" s="1" t="s">
        <v>908</v>
      </c>
      <c r="B4471" s="1" t="s">
        <v>1781</v>
      </c>
      <c r="C4471" s="1" t="s">
        <v>1169</v>
      </c>
      <c r="D4471" s="1" t="s">
        <v>1624</v>
      </c>
      <c r="E4471" s="1" t="s">
        <v>1375</v>
      </c>
      <c r="F4471" s="3">
        <v>0</v>
      </c>
      <c r="G4471" s="8" t="s">
        <v>2776</v>
      </c>
      <c r="H4471" s="8" t="s">
        <v>5161</v>
      </c>
      <c r="I4471" s="3">
        <v>25</v>
      </c>
      <c r="J4471" s="3" t="s">
        <v>6390</v>
      </c>
      <c r="K4471" s="17" t="str">
        <f>HYPERLINK("http://ictvonline.org/taxonomyHistory.asp?taxnode_id=20174963","ICTVonline=20174963")</f>
        <v>ICTVonline=20174963</v>
      </c>
      <c r="L4471" s="3">
        <v>4470</v>
      </c>
    </row>
    <row r="4472" spans="1:12" x14ac:dyDescent="0.15">
      <c r="A4472" s="1" t="s">
        <v>908</v>
      </c>
      <c r="B4472" s="1" t="s">
        <v>1781</v>
      </c>
      <c r="C4472" s="1" t="s">
        <v>1169</v>
      </c>
      <c r="D4472" s="1" t="s">
        <v>1624</v>
      </c>
      <c r="E4472" s="1" t="s">
        <v>1376</v>
      </c>
      <c r="F4472" s="3">
        <v>0</v>
      </c>
      <c r="G4472" s="8" t="s">
        <v>2776</v>
      </c>
      <c r="H4472" s="8" t="s">
        <v>5161</v>
      </c>
      <c r="I4472" s="3">
        <v>25</v>
      </c>
      <c r="J4472" s="3" t="s">
        <v>6390</v>
      </c>
      <c r="K4472" s="17" t="str">
        <f>HYPERLINK("http://ictvonline.org/taxonomyHistory.asp?taxnode_id=20174964","ICTVonline=20174964")</f>
        <v>ICTVonline=20174964</v>
      </c>
      <c r="L4472" s="3">
        <v>4471</v>
      </c>
    </row>
    <row r="4473" spans="1:12" x14ac:dyDescent="0.15">
      <c r="A4473" s="1" t="s">
        <v>908</v>
      </c>
      <c r="B4473" s="1" t="s">
        <v>1781</v>
      </c>
      <c r="C4473" s="1" t="s">
        <v>1169</v>
      </c>
      <c r="D4473" s="1" t="s">
        <v>1942</v>
      </c>
      <c r="E4473" s="1" t="s">
        <v>1943</v>
      </c>
      <c r="F4473" s="3">
        <v>1</v>
      </c>
      <c r="G4473" s="8" t="s">
        <v>2776</v>
      </c>
      <c r="H4473" s="8" t="s">
        <v>5161</v>
      </c>
      <c r="I4473" s="3">
        <v>25</v>
      </c>
      <c r="J4473" s="3" t="s">
        <v>6390</v>
      </c>
      <c r="K4473" s="17" t="str">
        <f>HYPERLINK("http://ictvonline.org/taxonomyHistory.asp?taxnode_id=20174966","ICTVonline=20174966")</f>
        <v>ICTVonline=20174966</v>
      </c>
      <c r="L4473" s="3">
        <v>4472</v>
      </c>
    </row>
    <row r="4474" spans="1:12" x14ac:dyDescent="0.15">
      <c r="A4474" s="1" t="s">
        <v>908</v>
      </c>
      <c r="B4474" s="1" t="s">
        <v>1781</v>
      </c>
      <c r="C4474" s="1" t="s">
        <v>1169</v>
      </c>
      <c r="D4474" s="1" t="s">
        <v>1942</v>
      </c>
      <c r="E4474" s="1" t="s">
        <v>1944</v>
      </c>
      <c r="F4474" s="3">
        <v>0</v>
      </c>
      <c r="G4474" s="8" t="s">
        <v>2776</v>
      </c>
      <c r="H4474" s="8" t="s">
        <v>5161</v>
      </c>
      <c r="I4474" s="3">
        <v>25</v>
      </c>
      <c r="J4474" s="3" t="s">
        <v>6390</v>
      </c>
      <c r="K4474" s="17" t="str">
        <f>HYPERLINK("http://ictvonline.org/taxonomyHistory.asp?taxnode_id=20174967","ICTVonline=20174967")</f>
        <v>ICTVonline=20174967</v>
      </c>
      <c r="L4474" s="3">
        <v>4473</v>
      </c>
    </row>
    <row r="4475" spans="1:12" x14ac:dyDescent="0.15">
      <c r="A4475" s="1" t="s">
        <v>908</v>
      </c>
      <c r="B4475" s="1" t="s">
        <v>1781</v>
      </c>
      <c r="C4475" s="1" t="s">
        <v>1169</v>
      </c>
      <c r="D4475" s="1" t="s">
        <v>1942</v>
      </c>
      <c r="E4475" s="1" t="s">
        <v>1945</v>
      </c>
      <c r="F4475" s="3">
        <v>0</v>
      </c>
      <c r="G4475" s="8" t="s">
        <v>2776</v>
      </c>
      <c r="H4475" s="8" t="s">
        <v>5161</v>
      </c>
      <c r="I4475" s="3">
        <v>25</v>
      </c>
      <c r="J4475" s="3" t="s">
        <v>6390</v>
      </c>
      <c r="K4475" s="17" t="str">
        <f>HYPERLINK("http://ictvonline.org/taxonomyHistory.asp?taxnode_id=20174968","ICTVonline=20174968")</f>
        <v>ICTVonline=20174968</v>
      </c>
      <c r="L4475" s="3">
        <v>4474</v>
      </c>
    </row>
    <row r="4476" spans="1:12" x14ac:dyDescent="0.15">
      <c r="A4476" s="1" t="s">
        <v>908</v>
      </c>
      <c r="B4476" s="1" t="s">
        <v>1781</v>
      </c>
      <c r="C4476" s="1" t="s">
        <v>1169</v>
      </c>
      <c r="D4476" s="1" t="s">
        <v>1318</v>
      </c>
      <c r="E4476" s="1" t="s">
        <v>1319</v>
      </c>
      <c r="F4476" s="3">
        <v>0</v>
      </c>
      <c r="G4476" s="8" t="s">
        <v>2776</v>
      </c>
      <c r="H4476" s="8" t="s">
        <v>5161</v>
      </c>
      <c r="I4476" s="3">
        <v>25</v>
      </c>
      <c r="J4476" s="3" t="s">
        <v>6390</v>
      </c>
      <c r="K4476" s="17" t="str">
        <f>HYPERLINK("http://ictvonline.org/taxonomyHistory.asp?taxnode_id=20174970","ICTVonline=20174970")</f>
        <v>ICTVonline=20174970</v>
      </c>
      <c r="L4476" s="3">
        <v>4475</v>
      </c>
    </row>
    <row r="4477" spans="1:12" x14ac:dyDescent="0.15">
      <c r="A4477" s="1" t="s">
        <v>908</v>
      </c>
      <c r="B4477" s="1" t="s">
        <v>1781</v>
      </c>
      <c r="C4477" s="1" t="s">
        <v>1169</v>
      </c>
      <c r="D4477" s="1" t="s">
        <v>1318</v>
      </c>
      <c r="E4477" s="1" t="s">
        <v>1320</v>
      </c>
      <c r="F4477" s="3">
        <v>0</v>
      </c>
      <c r="G4477" s="8" t="s">
        <v>2776</v>
      </c>
      <c r="H4477" s="8" t="s">
        <v>5161</v>
      </c>
      <c r="I4477" s="3">
        <v>25</v>
      </c>
      <c r="J4477" s="3" t="s">
        <v>6390</v>
      </c>
      <c r="K4477" s="17" t="str">
        <f>HYPERLINK("http://ictvonline.org/taxonomyHistory.asp?taxnode_id=20174971","ICTVonline=20174971")</f>
        <v>ICTVonline=20174971</v>
      </c>
      <c r="L4477" s="3">
        <v>4476</v>
      </c>
    </row>
    <row r="4478" spans="1:12" x14ac:dyDescent="0.15">
      <c r="A4478" s="1" t="s">
        <v>908</v>
      </c>
      <c r="B4478" s="1" t="s">
        <v>1781</v>
      </c>
      <c r="C4478" s="1" t="s">
        <v>1169</v>
      </c>
      <c r="D4478" s="1" t="s">
        <v>1318</v>
      </c>
      <c r="E4478" s="1" t="s">
        <v>6394</v>
      </c>
      <c r="F4478" s="3">
        <v>0</v>
      </c>
      <c r="G4478" s="8" t="s">
        <v>2776</v>
      </c>
      <c r="H4478" s="8" t="s">
        <v>5159</v>
      </c>
      <c r="I4478" s="3">
        <v>32</v>
      </c>
      <c r="J4478" s="3" t="s">
        <v>6395</v>
      </c>
      <c r="K4478" s="17" t="str">
        <f>HYPERLINK("http://ictvonline.org/taxonomyHistory.asp?taxnode_id=20175927","ICTVonline=20175927")</f>
        <v>ICTVonline=20175927</v>
      </c>
      <c r="L4478" s="3">
        <v>4477</v>
      </c>
    </row>
    <row r="4479" spans="1:12" x14ac:dyDescent="0.15">
      <c r="A4479" s="1" t="s">
        <v>908</v>
      </c>
      <c r="B4479" s="1" t="s">
        <v>1781</v>
      </c>
      <c r="C4479" s="1" t="s">
        <v>1169</v>
      </c>
      <c r="D4479" s="1" t="s">
        <v>1318</v>
      </c>
      <c r="E4479" s="1" t="s">
        <v>1321</v>
      </c>
      <c r="F4479" s="3">
        <v>1</v>
      </c>
      <c r="G4479" s="8" t="s">
        <v>2776</v>
      </c>
      <c r="H4479" s="8" t="s">
        <v>5161</v>
      </c>
      <c r="I4479" s="3">
        <v>25</v>
      </c>
      <c r="J4479" s="3" t="s">
        <v>6390</v>
      </c>
      <c r="K4479" s="17" t="str">
        <f>HYPERLINK("http://ictvonline.org/taxonomyHistory.asp?taxnode_id=20174972","ICTVonline=20174972")</f>
        <v>ICTVonline=20174972</v>
      </c>
      <c r="L4479" s="3">
        <v>4478</v>
      </c>
    </row>
    <row r="4480" spans="1:12" x14ac:dyDescent="0.15">
      <c r="A4480" s="1" t="s">
        <v>908</v>
      </c>
      <c r="B4480" s="1" t="s">
        <v>1781</v>
      </c>
      <c r="C4480" s="1" t="s">
        <v>1169</v>
      </c>
      <c r="D4480" s="1" t="s">
        <v>1318</v>
      </c>
      <c r="E4480" s="1" t="s">
        <v>1322</v>
      </c>
      <c r="F4480" s="3">
        <v>0</v>
      </c>
      <c r="G4480" s="8" t="s">
        <v>2776</v>
      </c>
      <c r="H4480" s="8" t="s">
        <v>5161</v>
      </c>
      <c r="I4480" s="3">
        <v>25</v>
      </c>
      <c r="J4480" s="3" t="s">
        <v>6390</v>
      </c>
      <c r="K4480" s="17" t="str">
        <f>HYPERLINK("http://ictvonline.org/taxonomyHistory.asp?taxnode_id=20174973","ICTVonline=20174973")</f>
        <v>ICTVonline=20174973</v>
      </c>
      <c r="L4480" s="3">
        <v>4479</v>
      </c>
    </row>
    <row r="4481" spans="1:12" x14ac:dyDescent="0.15">
      <c r="A4481" s="1" t="s">
        <v>908</v>
      </c>
      <c r="B4481" s="1" t="s">
        <v>1781</v>
      </c>
      <c r="C4481" s="1" t="s">
        <v>1169</v>
      </c>
      <c r="D4481" s="1" t="s">
        <v>1318</v>
      </c>
      <c r="E4481" s="1" t="s">
        <v>4154</v>
      </c>
      <c r="F4481" s="3">
        <v>0</v>
      </c>
      <c r="G4481" s="8" t="s">
        <v>2776</v>
      </c>
      <c r="H4481" s="8" t="s">
        <v>5159</v>
      </c>
      <c r="I4481" s="3">
        <v>30</v>
      </c>
      <c r="J4481" s="3" t="s">
        <v>6396</v>
      </c>
      <c r="K4481" s="17" t="str">
        <f>HYPERLINK("http://ictvonline.org/taxonomyHistory.asp?taxnode_id=20174974","ICTVonline=20174974")</f>
        <v>ICTVonline=20174974</v>
      </c>
      <c r="L4481" s="3">
        <v>4480</v>
      </c>
    </row>
    <row r="4482" spans="1:12" x14ac:dyDescent="0.15">
      <c r="A4482" s="1" t="s">
        <v>908</v>
      </c>
      <c r="B4482" s="1" t="s">
        <v>1781</v>
      </c>
      <c r="C4482" s="1" t="s">
        <v>1169</v>
      </c>
      <c r="D4482" s="1" t="s">
        <v>1318</v>
      </c>
      <c r="E4482" s="1" t="s">
        <v>1323</v>
      </c>
      <c r="F4482" s="3">
        <v>0</v>
      </c>
      <c r="G4482" s="8" t="s">
        <v>2776</v>
      </c>
      <c r="H4482" s="8" t="s">
        <v>5161</v>
      </c>
      <c r="I4482" s="3">
        <v>25</v>
      </c>
      <c r="J4482" s="3" t="s">
        <v>6390</v>
      </c>
      <c r="K4482" s="17" t="str">
        <f>HYPERLINK("http://ictvonline.org/taxonomyHistory.asp?taxnode_id=20174975","ICTVonline=20174975")</f>
        <v>ICTVonline=20174975</v>
      </c>
      <c r="L4482" s="3">
        <v>4481</v>
      </c>
    </row>
    <row r="4483" spans="1:12" x14ac:dyDescent="0.15">
      <c r="A4483" s="1" t="s">
        <v>908</v>
      </c>
      <c r="B4483" s="1" t="s">
        <v>1781</v>
      </c>
      <c r="C4483" s="1" t="s">
        <v>1169</v>
      </c>
      <c r="D4483" s="1" t="s">
        <v>1324</v>
      </c>
      <c r="E4483" s="1" t="s">
        <v>1325</v>
      </c>
      <c r="F4483" s="3">
        <v>0</v>
      </c>
      <c r="G4483" s="8" t="s">
        <v>2776</v>
      </c>
      <c r="H4483" s="8" t="s">
        <v>5161</v>
      </c>
      <c r="I4483" s="3">
        <v>25</v>
      </c>
      <c r="J4483" s="3" t="s">
        <v>6390</v>
      </c>
      <c r="K4483" s="17" t="str">
        <f>HYPERLINK("http://ictvonline.org/taxonomyHistory.asp?taxnode_id=20174977","ICTVonline=20174977")</f>
        <v>ICTVonline=20174977</v>
      </c>
      <c r="L4483" s="3">
        <v>4482</v>
      </c>
    </row>
    <row r="4484" spans="1:12" x14ac:dyDescent="0.15">
      <c r="A4484" s="1" t="s">
        <v>908</v>
      </c>
      <c r="B4484" s="1" t="s">
        <v>1781</v>
      </c>
      <c r="C4484" s="1" t="s">
        <v>1169</v>
      </c>
      <c r="D4484" s="1" t="s">
        <v>1324</v>
      </c>
      <c r="E4484" s="1" t="s">
        <v>240</v>
      </c>
      <c r="F4484" s="3">
        <v>1</v>
      </c>
      <c r="G4484" s="8" t="s">
        <v>2776</v>
      </c>
      <c r="H4484" s="8" t="s">
        <v>5161</v>
      </c>
      <c r="I4484" s="3">
        <v>25</v>
      </c>
      <c r="J4484" s="3" t="s">
        <v>6390</v>
      </c>
      <c r="K4484" s="17" t="str">
        <f>HYPERLINK("http://ictvonline.org/taxonomyHistory.asp?taxnode_id=20174978","ICTVonline=20174978")</f>
        <v>ICTVonline=20174978</v>
      </c>
      <c r="L4484" s="3">
        <v>4483</v>
      </c>
    </row>
    <row r="4485" spans="1:12" x14ac:dyDescent="0.15">
      <c r="A4485" s="1" t="s">
        <v>908</v>
      </c>
      <c r="B4485" s="1" t="s">
        <v>4155</v>
      </c>
      <c r="D4485" s="1" t="s">
        <v>4156</v>
      </c>
      <c r="E4485" s="1" t="s">
        <v>4157</v>
      </c>
      <c r="F4485" s="3">
        <v>1</v>
      </c>
      <c r="G4485" s="8" t="s">
        <v>2773</v>
      </c>
      <c r="H4485" s="8" t="s">
        <v>5159</v>
      </c>
      <c r="I4485" s="3">
        <v>30</v>
      </c>
      <c r="J4485" s="3" t="s">
        <v>6397</v>
      </c>
      <c r="K4485" s="17" t="str">
        <f>HYPERLINK("http://ictvonline.org/taxonomyHistory.asp?taxnode_id=20175047","ICTVonline=20175047")</f>
        <v>ICTVonline=20175047</v>
      </c>
      <c r="L4485" s="3">
        <v>4484</v>
      </c>
    </row>
    <row r="4486" spans="1:12" x14ac:dyDescent="0.15">
      <c r="A4486" s="1" t="s">
        <v>908</v>
      </c>
      <c r="B4486" s="1" t="s">
        <v>6398</v>
      </c>
      <c r="D4486" s="1" t="s">
        <v>6399</v>
      </c>
      <c r="E4486" s="1" t="s">
        <v>6400</v>
      </c>
      <c r="F4486" s="3">
        <v>1</v>
      </c>
      <c r="G4486" s="8" t="s">
        <v>2774</v>
      </c>
      <c r="H4486" s="8" t="s">
        <v>5159</v>
      </c>
      <c r="I4486" s="3">
        <v>32</v>
      </c>
      <c r="J4486" s="3" t="s">
        <v>6401</v>
      </c>
      <c r="K4486" s="17" t="str">
        <f>HYPERLINK("http://ictvonline.org/taxonomyHistory.asp?taxnode_id=20175945","ICTVonline=20175945")</f>
        <v>ICTVonline=20175945</v>
      </c>
      <c r="L4486" s="3">
        <v>4485</v>
      </c>
    </row>
    <row r="4487" spans="1:12" x14ac:dyDescent="0.15">
      <c r="A4487" s="1" t="s">
        <v>908</v>
      </c>
      <c r="B4487" s="1" t="s">
        <v>6398</v>
      </c>
      <c r="D4487" s="1" t="s">
        <v>6399</v>
      </c>
      <c r="E4487" s="1" t="s">
        <v>6402</v>
      </c>
      <c r="F4487" s="3">
        <v>0</v>
      </c>
      <c r="G4487" s="8" t="s">
        <v>2774</v>
      </c>
      <c r="H4487" s="8" t="s">
        <v>5159</v>
      </c>
      <c r="I4487" s="3">
        <v>32</v>
      </c>
      <c r="J4487" s="3" t="s">
        <v>6401</v>
      </c>
      <c r="K4487" s="17" t="str">
        <f>HYPERLINK("http://ictvonline.org/taxonomyHistory.asp?taxnode_id=20175946","ICTVonline=20175946")</f>
        <v>ICTVonline=20175946</v>
      </c>
      <c r="L4487" s="3">
        <v>4486</v>
      </c>
    </row>
    <row r="4488" spans="1:12" x14ac:dyDescent="0.15">
      <c r="A4488" s="1" t="s">
        <v>908</v>
      </c>
      <c r="B4488" s="1" t="s">
        <v>6398</v>
      </c>
      <c r="D4488" s="1" t="s">
        <v>6399</v>
      </c>
      <c r="E4488" s="1" t="s">
        <v>6403</v>
      </c>
      <c r="F4488" s="3">
        <v>0</v>
      </c>
      <c r="G4488" s="8" t="s">
        <v>2774</v>
      </c>
      <c r="H4488" s="8" t="s">
        <v>5159</v>
      </c>
      <c r="I4488" s="3">
        <v>32</v>
      </c>
      <c r="J4488" s="3" t="s">
        <v>6401</v>
      </c>
      <c r="K4488" s="17" t="str">
        <f>HYPERLINK("http://ictvonline.org/taxonomyHistory.asp?taxnode_id=20175947","ICTVonline=20175947")</f>
        <v>ICTVonline=20175947</v>
      </c>
      <c r="L4488" s="3">
        <v>4487</v>
      </c>
    </row>
    <row r="4489" spans="1:12" x14ac:dyDescent="0.15">
      <c r="A4489" s="1" t="s">
        <v>908</v>
      </c>
      <c r="B4489" s="1" t="s">
        <v>6398</v>
      </c>
      <c r="D4489" s="1" t="s">
        <v>6404</v>
      </c>
      <c r="E4489" s="1" t="s">
        <v>6405</v>
      </c>
      <c r="F4489" s="3">
        <v>1</v>
      </c>
      <c r="G4489" s="8" t="s">
        <v>2774</v>
      </c>
      <c r="H4489" s="8" t="s">
        <v>5159</v>
      </c>
      <c r="I4489" s="3">
        <v>32</v>
      </c>
      <c r="J4489" s="3" t="s">
        <v>6401</v>
      </c>
      <c r="K4489" s="17" t="str">
        <f>HYPERLINK("http://ictvonline.org/taxonomyHistory.asp?taxnode_id=20175949","ICTVonline=20175949")</f>
        <v>ICTVonline=20175949</v>
      </c>
      <c r="L4489" s="3">
        <v>4488</v>
      </c>
    </row>
    <row r="4490" spans="1:12" x14ac:dyDescent="0.15">
      <c r="A4490" s="1" t="s">
        <v>908</v>
      </c>
      <c r="B4490" s="1" t="s">
        <v>6398</v>
      </c>
      <c r="D4490" s="1" t="s">
        <v>6406</v>
      </c>
      <c r="E4490" s="1" t="s">
        <v>6407</v>
      </c>
      <c r="F4490" s="3">
        <v>1</v>
      </c>
      <c r="G4490" s="8" t="s">
        <v>2774</v>
      </c>
      <c r="H4490" s="8" t="s">
        <v>5159</v>
      </c>
      <c r="I4490" s="3">
        <v>32</v>
      </c>
      <c r="J4490" s="3" t="s">
        <v>6401</v>
      </c>
      <c r="K4490" s="17" t="str">
        <f>HYPERLINK("http://ictvonline.org/taxonomyHistory.asp?taxnode_id=20175951","ICTVonline=20175951")</f>
        <v>ICTVonline=20175951</v>
      </c>
      <c r="L4490" s="3">
        <v>4489</v>
      </c>
    </row>
    <row r="4491" spans="1:12" x14ac:dyDescent="0.15">
      <c r="A4491" s="1" t="s">
        <v>908</v>
      </c>
      <c r="B4491" s="1" t="s">
        <v>6398</v>
      </c>
      <c r="D4491" s="1" t="s">
        <v>6408</v>
      </c>
      <c r="E4491" s="1" t="s">
        <v>6409</v>
      </c>
      <c r="F4491" s="3">
        <v>0</v>
      </c>
      <c r="G4491" s="8" t="s">
        <v>2774</v>
      </c>
      <c r="H4491" s="8" t="s">
        <v>5159</v>
      </c>
      <c r="I4491" s="3">
        <v>32</v>
      </c>
      <c r="J4491" s="3" t="s">
        <v>6401</v>
      </c>
      <c r="K4491" s="17" t="str">
        <f>HYPERLINK("http://ictvonline.org/taxonomyHistory.asp?taxnode_id=20175953","ICTVonline=20175953")</f>
        <v>ICTVonline=20175953</v>
      </c>
      <c r="L4491" s="3">
        <v>4490</v>
      </c>
    </row>
    <row r="4492" spans="1:12" x14ac:dyDescent="0.15">
      <c r="A4492" s="1" t="s">
        <v>908</v>
      </c>
      <c r="B4492" s="1" t="s">
        <v>6398</v>
      </c>
      <c r="D4492" s="1" t="s">
        <v>6408</v>
      </c>
      <c r="E4492" s="1" t="s">
        <v>6410</v>
      </c>
      <c r="F4492" s="3">
        <v>1</v>
      </c>
      <c r="G4492" s="8" t="s">
        <v>2774</v>
      </c>
      <c r="H4492" s="8" t="s">
        <v>5159</v>
      </c>
      <c r="I4492" s="3">
        <v>32</v>
      </c>
      <c r="J4492" s="3" t="s">
        <v>6401</v>
      </c>
      <c r="K4492" s="17" t="str">
        <f>HYPERLINK("http://ictvonline.org/taxonomyHistory.asp?taxnode_id=20175954","ICTVonline=20175954")</f>
        <v>ICTVonline=20175954</v>
      </c>
      <c r="L4492" s="3">
        <v>4491</v>
      </c>
    </row>
    <row r="4493" spans="1:12" x14ac:dyDescent="0.15">
      <c r="A4493" s="1" t="s">
        <v>908</v>
      </c>
      <c r="B4493" s="1" t="s">
        <v>6398</v>
      </c>
      <c r="D4493" s="1" t="s">
        <v>6408</v>
      </c>
      <c r="E4493" s="1" t="s">
        <v>6411</v>
      </c>
      <c r="F4493" s="3">
        <v>0</v>
      </c>
      <c r="G4493" s="8" t="s">
        <v>2774</v>
      </c>
      <c r="H4493" s="8" t="s">
        <v>5159</v>
      </c>
      <c r="I4493" s="3">
        <v>32</v>
      </c>
      <c r="J4493" s="3" t="s">
        <v>6401</v>
      </c>
      <c r="K4493" s="17" t="str">
        <f>HYPERLINK("http://ictvonline.org/taxonomyHistory.asp?taxnode_id=20175955","ICTVonline=20175955")</f>
        <v>ICTVonline=20175955</v>
      </c>
      <c r="L4493" s="3">
        <v>4492</v>
      </c>
    </row>
    <row r="4494" spans="1:12" x14ac:dyDescent="0.15">
      <c r="A4494" s="1" t="s">
        <v>908</v>
      </c>
      <c r="B4494" s="1" t="s">
        <v>6398</v>
      </c>
      <c r="D4494" s="1" t="s">
        <v>6412</v>
      </c>
      <c r="E4494" s="1" t="s">
        <v>6413</v>
      </c>
      <c r="F4494" s="3">
        <v>0</v>
      </c>
      <c r="G4494" s="8" t="s">
        <v>2774</v>
      </c>
      <c r="H4494" s="8" t="s">
        <v>5159</v>
      </c>
      <c r="I4494" s="3">
        <v>32</v>
      </c>
      <c r="J4494" s="3" t="s">
        <v>6401</v>
      </c>
      <c r="K4494" s="17" t="str">
        <f>HYPERLINK("http://ictvonline.org/taxonomyHistory.asp?taxnode_id=20175957","ICTVonline=20175957")</f>
        <v>ICTVonline=20175957</v>
      </c>
      <c r="L4494" s="3">
        <v>4493</v>
      </c>
    </row>
    <row r="4495" spans="1:12" x14ac:dyDescent="0.15">
      <c r="A4495" s="1" t="s">
        <v>908</v>
      </c>
      <c r="B4495" s="1" t="s">
        <v>6398</v>
      </c>
      <c r="D4495" s="1" t="s">
        <v>6412</v>
      </c>
      <c r="E4495" s="1" t="s">
        <v>6414</v>
      </c>
      <c r="F4495" s="3">
        <v>0</v>
      </c>
      <c r="G4495" s="8" t="s">
        <v>2774</v>
      </c>
      <c r="H4495" s="8" t="s">
        <v>5159</v>
      </c>
      <c r="I4495" s="3">
        <v>32</v>
      </c>
      <c r="J4495" s="3" t="s">
        <v>6401</v>
      </c>
      <c r="K4495" s="17" t="str">
        <f>HYPERLINK("http://ictvonline.org/taxonomyHistory.asp?taxnode_id=20175958","ICTVonline=20175958")</f>
        <v>ICTVonline=20175958</v>
      </c>
      <c r="L4495" s="3">
        <v>4494</v>
      </c>
    </row>
    <row r="4496" spans="1:12" x14ac:dyDescent="0.15">
      <c r="A4496" s="1" t="s">
        <v>908</v>
      </c>
      <c r="B4496" s="1" t="s">
        <v>6398</v>
      </c>
      <c r="D4496" s="1" t="s">
        <v>6412</v>
      </c>
      <c r="E4496" s="1" t="s">
        <v>6415</v>
      </c>
      <c r="F4496" s="3">
        <v>0</v>
      </c>
      <c r="G4496" s="8" t="s">
        <v>2774</v>
      </c>
      <c r="H4496" s="8" t="s">
        <v>5159</v>
      </c>
      <c r="I4496" s="3">
        <v>32</v>
      </c>
      <c r="J4496" s="3" t="s">
        <v>6401</v>
      </c>
      <c r="K4496" s="17" t="str">
        <f>HYPERLINK("http://ictvonline.org/taxonomyHistory.asp?taxnode_id=20175959","ICTVonline=20175959")</f>
        <v>ICTVonline=20175959</v>
      </c>
      <c r="L4496" s="3">
        <v>4495</v>
      </c>
    </row>
    <row r="4497" spans="1:12" x14ac:dyDescent="0.15">
      <c r="A4497" s="1" t="s">
        <v>908</v>
      </c>
      <c r="B4497" s="1" t="s">
        <v>6398</v>
      </c>
      <c r="D4497" s="1" t="s">
        <v>6412</v>
      </c>
      <c r="E4497" s="1" t="s">
        <v>6416</v>
      </c>
      <c r="F4497" s="3">
        <v>0</v>
      </c>
      <c r="G4497" s="8" t="s">
        <v>2774</v>
      </c>
      <c r="H4497" s="8" t="s">
        <v>5159</v>
      </c>
      <c r="I4497" s="3">
        <v>32</v>
      </c>
      <c r="J4497" s="3" t="s">
        <v>6401</v>
      </c>
      <c r="K4497" s="17" t="str">
        <f>HYPERLINK("http://ictvonline.org/taxonomyHistory.asp?taxnode_id=20175960","ICTVonline=20175960")</f>
        <v>ICTVonline=20175960</v>
      </c>
      <c r="L4497" s="3">
        <v>4496</v>
      </c>
    </row>
    <row r="4498" spans="1:12" x14ac:dyDescent="0.15">
      <c r="A4498" s="1" t="s">
        <v>908</v>
      </c>
      <c r="B4498" s="1" t="s">
        <v>6398</v>
      </c>
      <c r="D4498" s="1" t="s">
        <v>6412</v>
      </c>
      <c r="E4498" s="1" t="s">
        <v>6417</v>
      </c>
      <c r="F4498" s="3">
        <v>1</v>
      </c>
      <c r="G4498" s="8" t="s">
        <v>2774</v>
      </c>
      <c r="H4498" s="8" t="s">
        <v>5159</v>
      </c>
      <c r="I4498" s="3">
        <v>32</v>
      </c>
      <c r="J4498" s="3" t="s">
        <v>6401</v>
      </c>
      <c r="K4498" s="17" t="str">
        <f>HYPERLINK("http://ictvonline.org/taxonomyHistory.asp?taxnode_id=20175961","ICTVonline=20175961")</f>
        <v>ICTVonline=20175961</v>
      </c>
      <c r="L4498" s="3">
        <v>4497</v>
      </c>
    </row>
    <row r="4499" spans="1:12" x14ac:dyDescent="0.15">
      <c r="A4499" s="1" t="s">
        <v>908</v>
      </c>
      <c r="B4499" s="1" t="s">
        <v>6398</v>
      </c>
      <c r="D4499" s="1" t="s">
        <v>6412</v>
      </c>
      <c r="E4499" s="1" t="s">
        <v>6418</v>
      </c>
      <c r="F4499" s="3">
        <v>0</v>
      </c>
      <c r="G4499" s="8" t="s">
        <v>2774</v>
      </c>
      <c r="H4499" s="8" t="s">
        <v>5159</v>
      </c>
      <c r="I4499" s="3">
        <v>32</v>
      </c>
      <c r="J4499" s="3" t="s">
        <v>6401</v>
      </c>
      <c r="K4499" s="17" t="str">
        <f>HYPERLINK("http://ictvonline.org/taxonomyHistory.asp?taxnode_id=20175962","ICTVonline=20175962")</f>
        <v>ICTVonline=20175962</v>
      </c>
      <c r="L4499" s="3">
        <v>4498</v>
      </c>
    </row>
    <row r="4500" spans="1:12" x14ac:dyDescent="0.15">
      <c r="A4500" s="1" t="s">
        <v>908</v>
      </c>
      <c r="B4500" s="1" t="s">
        <v>6398</v>
      </c>
      <c r="D4500" s="1" t="s">
        <v>6412</v>
      </c>
      <c r="E4500" s="1" t="s">
        <v>6419</v>
      </c>
      <c r="F4500" s="3">
        <v>0</v>
      </c>
      <c r="G4500" s="8" t="s">
        <v>2774</v>
      </c>
      <c r="H4500" s="8" t="s">
        <v>5159</v>
      </c>
      <c r="I4500" s="3">
        <v>32</v>
      </c>
      <c r="J4500" s="3" t="s">
        <v>6401</v>
      </c>
      <c r="K4500" s="17" t="str">
        <f>HYPERLINK("http://ictvonline.org/taxonomyHistory.asp?taxnode_id=20175963","ICTVonline=20175963")</f>
        <v>ICTVonline=20175963</v>
      </c>
      <c r="L4500" s="3">
        <v>4499</v>
      </c>
    </row>
    <row r="4501" spans="1:12" x14ac:dyDescent="0.15">
      <c r="A4501" s="1" t="s">
        <v>908</v>
      </c>
      <c r="B4501" s="1" t="s">
        <v>6398</v>
      </c>
      <c r="D4501" s="1" t="s">
        <v>6420</v>
      </c>
      <c r="E4501" s="1" t="s">
        <v>6421</v>
      </c>
      <c r="F4501" s="3">
        <v>0</v>
      </c>
      <c r="G4501" s="8" t="s">
        <v>2774</v>
      </c>
      <c r="H4501" s="8" t="s">
        <v>5159</v>
      </c>
      <c r="I4501" s="3">
        <v>32</v>
      </c>
      <c r="J4501" s="3" t="s">
        <v>6401</v>
      </c>
      <c r="K4501" s="17" t="str">
        <f>HYPERLINK("http://ictvonline.org/taxonomyHistory.asp?taxnode_id=20175965","ICTVonline=20175965")</f>
        <v>ICTVonline=20175965</v>
      </c>
      <c r="L4501" s="3">
        <v>4500</v>
      </c>
    </row>
    <row r="4502" spans="1:12" x14ac:dyDescent="0.15">
      <c r="A4502" s="1" t="s">
        <v>908</v>
      </c>
      <c r="B4502" s="1" t="s">
        <v>6398</v>
      </c>
      <c r="D4502" s="1" t="s">
        <v>6420</v>
      </c>
      <c r="E4502" s="1" t="s">
        <v>6422</v>
      </c>
      <c r="F4502" s="3">
        <v>0</v>
      </c>
      <c r="G4502" s="8" t="s">
        <v>2774</v>
      </c>
      <c r="H4502" s="8" t="s">
        <v>5159</v>
      </c>
      <c r="I4502" s="3">
        <v>32</v>
      </c>
      <c r="J4502" s="3" t="s">
        <v>6401</v>
      </c>
      <c r="K4502" s="17" t="str">
        <f>HYPERLINK("http://ictvonline.org/taxonomyHistory.asp?taxnode_id=20175966","ICTVonline=20175966")</f>
        <v>ICTVonline=20175966</v>
      </c>
      <c r="L4502" s="3">
        <v>4501</v>
      </c>
    </row>
    <row r="4503" spans="1:12" x14ac:dyDescent="0.15">
      <c r="A4503" s="1" t="s">
        <v>908</v>
      </c>
      <c r="B4503" s="1" t="s">
        <v>6398</v>
      </c>
      <c r="D4503" s="1" t="s">
        <v>6420</v>
      </c>
      <c r="E4503" s="1" t="s">
        <v>6423</v>
      </c>
      <c r="F4503" s="3">
        <v>0</v>
      </c>
      <c r="G4503" s="8" t="s">
        <v>2774</v>
      </c>
      <c r="H4503" s="8" t="s">
        <v>5159</v>
      </c>
      <c r="I4503" s="3">
        <v>32</v>
      </c>
      <c r="J4503" s="3" t="s">
        <v>6401</v>
      </c>
      <c r="K4503" s="17" t="str">
        <f>HYPERLINK("http://ictvonline.org/taxonomyHistory.asp?taxnode_id=20175967","ICTVonline=20175967")</f>
        <v>ICTVonline=20175967</v>
      </c>
      <c r="L4503" s="3">
        <v>4502</v>
      </c>
    </row>
    <row r="4504" spans="1:12" x14ac:dyDescent="0.15">
      <c r="A4504" s="1" t="s">
        <v>908</v>
      </c>
      <c r="B4504" s="1" t="s">
        <v>6398</v>
      </c>
      <c r="D4504" s="1" t="s">
        <v>6420</v>
      </c>
      <c r="E4504" s="1" t="s">
        <v>6424</v>
      </c>
      <c r="F4504" s="3">
        <v>0</v>
      </c>
      <c r="G4504" s="8" t="s">
        <v>2774</v>
      </c>
      <c r="H4504" s="8" t="s">
        <v>5159</v>
      </c>
      <c r="I4504" s="3">
        <v>32</v>
      </c>
      <c r="J4504" s="3" t="s">
        <v>6401</v>
      </c>
      <c r="K4504" s="17" t="str">
        <f>HYPERLINK("http://ictvonline.org/taxonomyHistory.asp?taxnode_id=20175968","ICTVonline=20175968")</f>
        <v>ICTVonline=20175968</v>
      </c>
      <c r="L4504" s="3">
        <v>4503</v>
      </c>
    </row>
    <row r="4505" spans="1:12" x14ac:dyDescent="0.15">
      <c r="A4505" s="1" t="s">
        <v>908</v>
      </c>
      <c r="B4505" s="1" t="s">
        <v>6398</v>
      </c>
      <c r="D4505" s="1" t="s">
        <v>6420</v>
      </c>
      <c r="E4505" s="1" t="s">
        <v>6425</v>
      </c>
      <c r="F4505" s="3">
        <v>0</v>
      </c>
      <c r="G4505" s="8" t="s">
        <v>2774</v>
      </c>
      <c r="H4505" s="8" t="s">
        <v>5159</v>
      </c>
      <c r="I4505" s="3">
        <v>32</v>
      </c>
      <c r="J4505" s="3" t="s">
        <v>6401</v>
      </c>
      <c r="K4505" s="17" t="str">
        <f>HYPERLINK("http://ictvonline.org/taxonomyHistory.asp?taxnode_id=20175969","ICTVonline=20175969")</f>
        <v>ICTVonline=20175969</v>
      </c>
      <c r="L4505" s="3">
        <v>4504</v>
      </c>
    </row>
    <row r="4506" spans="1:12" x14ac:dyDescent="0.15">
      <c r="A4506" s="1" t="s">
        <v>908</v>
      </c>
      <c r="B4506" s="1" t="s">
        <v>6398</v>
      </c>
      <c r="D4506" s="1" t="s">
        <v>6420</v>
      </c>
      <c r="E4506" s="1" t="s">
        <v>6426</v>
      </c>
      <c r="F4506" s="3">
        <v>1</v>
      </c>
      <c r="G4506" s="8" t="s">
        <v>2774</v>
      </c>
      <c r="H4506" s="8" t="s">
        <v>5159</v>
      </c>
      <c r="I4506" s="3">
        <v>32</v>
      </c>
      <c r="J4506" s="3" t="s">
        <v>6401</v>
      </c>
      <c r="K4506" s="17" t="str">
        <f>HYPERLINK("http://ictvonline.org/taxonomyHistory.asp?taxnode_id=20175970","ICTVonline=20175970")</f>
        <v>ICTVonline=20175970</v>
      </c>
      <c r="L4506" s="3">
        <v>4505</v>
      </c>
    </row>
    <row r="4507" spans="1:12" x14ac:dyDescent="0.15">
      <c r="A4507" s="1" t="s">
        <v>908</v>
      </c>
      <c r="B4507" s="1" t="s">
        <v>6398</v>
      </c>
      <c r="D4507" s="1" t="s">
        <v>6420</v>
      </c>
      <c r="E4507" s="1" t="s">
        <v>6427</v>
      </c>
      <c r="F4507" s="3">
        <v>0</v>
      </c>
      <c r="G4507" s="8" t="s">
        <v>2774</v>
      </c>
      <c r="H4507" s="8" t="s">
        <v>5159</v>
      </c>
      <c r="I4507" s="3">
        <v>32</v>
      </c>
      <c r="J4507" s="3" t="s">
        <v>6401</v>
      </c>
      <c r="K4507" s="17" t="str">
        <f>HYPERLINK("http://ictvonline.org/taxonomyHistory.asp?taxnode_id=20175971","ICTVonline=20175971")</f>
        <v>ICTVonline=20175971</v>
      </c>
      <c r="L4507" s="3">
        <v>4506</v>
      </c>
    </row>
    <row r="4508" spans="1:12" x14ac:dyDescent="0.15">
      <c r="A4508" s="1" t="s">
        <v>908</v>
      </c>
      <c r="B4508" s="1" t="s">
        <v>6398</v>
      </c>
      <c r="D4508" s="1" t="s">
        <v>6420</v>
      </c>
      <c r="E4508" s="1" t="s">
        <v>6428</v>
      </c>
      <c r="F4508" s="3">
        <v>0</v>
      </c>
      <c r="G4508" s="8" t="s">
        <v>2774</v>
      </c>
      <c r="H4508" s="8" t="s">
        <v>5159</v>
      </c>
      <c r="I4508" s="3">
        <v>32</v>
      </c>
      <c r="J4508" s="3" t="s">
        <v>6401</v>
      </c>
      <c r="K4508" s="17" t="str">
        <f>HYPERLINK("http://ictvonline.org/taxonomyHistory.asp?taxnode_id=20175972","ICTVonline=20175972")</f>
        <v>ICTVonline=20175972</v>
      </c>
      <c r="L4508" s="3">
        <v>4507</v>
      </c>
    </row>
    <row r="4509" spans="1:12" x14ac:dyDescent="0.15">
      <c r="A4509" s="1" t="s">
        <v>908</v>
      </c>
      <c r="B4509" s="1" t="s">
        <v>6398</v>
      </c>
      <c r="D4509" s="1" t="s">
        <v>6420</v>
      </c>
      <c r="E4509" s="1" t="s">
        <v>6429</v>
      </c>
      <c r="F4509" s="3">
        <v>0</v>
      </c>
      <c r="G4509" s="8" t="s">
        <v>2774</v>
      </c>
      <c r="H4509" s="8" t="s">
        <v>5159</v>
      </c>
      <c r="I4509" s="3">
        <v>32</v>
      </c>
      <c r="J4509" s="3" t="s">
        <v>6401</v>
      </c>
      <c r="K4509" s="17" t="str">
        <f>HYPERLINK("http://ictvonline.org/taxonomyHistory.asp?taxnode_id=20175973","ICTVonline=20175973")</f>
        <v>ICTVonline=20175973</v>
      </c>
      <c r="L4509" s="3">
        <v>4508</v>
      </c>
    </row>
    <row r="4510" spans="1:12" x14ac:dyDescent="0.15">
      <c r="A4510" s="1" t="s">
        <v>908</v>
      </c>
      <c r="B4510" s="1" t="s">
        <v>6398</v>
      </c>
      <c r="D4510" s="1" t="s">
        <v>6420</v>
      </c>
      <c r="E4510" s="1" t="s">
        <v>6430</v>
      </c>
      <c r="F4510" s="3">
        <v>0</v>
      </c>
      <c r="G4510" s="8" t="s">
        <v>2774</v>
      </c>
      <c r="H4510" s="8" t="s">
        <v>5159</v>
      </c>
      <c r="I4510" s="3">
        <v>32</v>
      </c>
      <c r="J4510" s="3" t="s">
        <v>6401</v>
      </c>
      <c r="K4510" s="17" t="str">
        <f>HYPERLINK("http://ictvonline.org/taxonomyHistory.asp?taxnode_id=20175974","ICTVonline=20175974")</f>
        <v>ICTVonline=20175974</v>
      </c>
      <c r="L4510" s="3">
        <v>4509</v>
      </c>
    </row>
    <row r="4511" spans="1:12" x14ac:dyDescent="0.15">
      <c r="A4511" s="1" t="s">
        <v>908</v>
      </c>
      <c r="B4511" s="1" t="s">
        <v>6398</v>
      </c>
      <c r="D4511" s="1" t="s">
        <v>6420</v>
      </c>
      <c r="E4511" s="1" t="s">
        <v>6431</v>
      </c>
      <c r="F4511" s="3">
        <v>0</v>
      </c>
      <c r="G4511" s="8" t="s">
        <v>2774</v>
      </c>
      <c r="H4511" s="8" t="s">
        <v>5159</v>
      </c>
      <c r="I4511" s="3">
        <v>32</v>
      </c>
      <c r="J4511" s="3" t="s">
        <v>6401</v>
      </c>
      <c r="K4511" s="17" t="str">
        <f>HYPERLINK("http://ictvonline.org/taxonomyHistory.asp?taxnode_id=20175975","ICTVonline=20175975")</f>
        <v>ICTVonline=20175975</v>
      </c>
      <c r="L4511" s="3">
        <v>4510</v>
      </c>
    </row>
    <row r="4512" spans="1:12" x14ac:dyDescent="0.15">
      <c r="A4512" s="1" t="s">
        <v>908</v>
      </c>
      <c r="B4512" s="1" t="s">
        <v>6398</v>
      </c>
      <c r="D4512" s="1" t="s">
        <v>6420</v>
      </c>
      <c r="E4512" s="1" t="s">
        <v>6432</v>
      </c>
      <c r="F4512" s="3">
        <v>0</v>
      </c>
      <c r="G4512" s="8" t="s">
        <v>2774</v>
      </c>
      <c r="H4512" s="8" t="s">
        <v>5159</v>
      </c>
      <c r="I4512" s="3">
        <v>32</v>
      </c>
      <c r="J4512" s="3" t="s">
        <v>6401</v>
      </c>
      <c r="K4512" s="17" t="str">
        <f>HYPERLINK("http://ictvonline.org/taxonomyHistory.asp?taxnode_id=20175976","ICTVonline=20175976")</f>
        <v>ICTVonline=20175976</v>
      </c>
      <c r="L4512" s="3">
        <v>4511</v>
      </c>
    </row>
    <row r="4513" spans="1:12" x14ac:dyDescent="0.15">
      <c r="A4513" s="1" t="s">
        <v>908</v>
      </c>
      <c r="B4513" s="1" t="s">
        <v>6398</v>
      </c>
      <c r="D4513" s="1" t="s">
        <v>6420</v>
      </c>
      <c r="E4513" s="1" t="s">
        <v>6433</v>
      </c>
      <c r="F4513" s="3">
        <v>0</v>
      </c>
      <c r="G4513" s="8" t="s">
        <v>2774</v>
      </c>
      <c r="H4513" s="8" t="s">
        <v>5159</v>
      </c>
      <c r="I4513" s="3">
        <v>32</v>
      </c>
      <c r="J4513" s="3" t="s">
        <v>6401</v>
      </c>
      <c r="K4513" s="17" t="str">
        <f>HYPERLINK("http://ictvonline.org/taxonomyHistory.asp?taxnode_id=20175977","ICTVonline=20175977")</f>
        <v>ICTVonline=20175977</v>
      </c>
      <c r="L4513" s="3">
        <v>4512</v>
      </c>
    </row>
    <row r="4514" spans="1:12" x14ac:dyDescent="0.15">
      <c r="A4514" s="1" t="s">
        <v>908</v>
      </c>
      <c r="B4514" s="1" t="s">
        <v>6398</v>
      </c>
      <c r="D4514" s="1" t="s">
        <v>6420</v>
      </c>
      <c r="E4514" s="1" t="s">
        <v>6434</v>
      </c>
      <c r="F4514" s="3">
        <v>0</v>
      </c>
      <c r="G4514" s="8" t="s">
        <v>2774</v>
      </c>
      <c r="H4514" s="8" t="s">
        <v>5159</v>
      </c>
      <c r="I4514" s="3">
        <v>32</v>
      </c>
      <c r="J4514" s="3" t="s">
        <v>6401</v>
      </c>
      <c r="K4514" s="17" t="str">
        <f>HYPERLINK("http://ictvonline.org/taxonomyHistory.asp?taxnode_id=20175979","ICTVonline=20175979")</f>
        <v>ICTVonline=20175979</v>
      </c>
      <c r="L4514" s="3">
        <v>4513</v>
      </c>
    </row>
    <row r="4515" spans="1:12" x14ac:dyDescent="0.15">
      <c r="A4515" s="1" t="s">
        <v>908</v>
      </c>
      <c r="B4515" s="1" t="s">
        <v>6398</v>
      </c>
      <c r="D4515" s="1" t="s">
        <v>6420</v>
      </c>
      <c r="E4515" s="1" t="s">
        <v>6435</v>
      </c>
      <c r="F4515" s="3">
        <v>0</v>
      </c>
      <c r="G4515" s="8" t="s">
        <v>2774</v>
      </c>
      <c r="H4515" s="8" t="s">
        <v>5159</v>
      </c>
      <c r="I4515" s="3">
        <v>32</v>
      </c>
      <c r="J4515" s="3" t="s">
        <v>6401</v>
      </c>
      <c r="K4515" s="17" t="str">
        <f>HYPERLINK("http://ictvonline.org/taxonomyHistory.asp?taxnode_id=20175980","ICTVonline=20175980")</f>
        <v>ICTVonline=20175980</v>
      </c>
      <c r="L4515" s="3">
        <v>4514</v>
      </c>
    </row>
    <row r="4516" spans="1:12" x14ac:dyDescent="0.15">
      <c r="A4516" s="1" t="s">
        <v>908</v>
      </c>
      <c r="B4516" s="1" t="s">
        <v>6398</v>
      </c>
      <c r="D4516" s="1" t="s">
        <v>6420</v>
      </c>
      <c r="E4516" s="1" t="s">
        <v>6436</v>
      </c>
      <c r="F4516" s="3">
        <v>0</v>
      </c>
      <c r="G4516" s="8" t="s">
        <v>2774</v>
      </c>
      <c r="H4516" s="8" t="s">
        <v>5159</v>
      </c>
      <c r="I4516" s="3">
        <v>32</v>
      </c>
      <c r="J4516" s="3" t="s">
        <v>6401</v>
      </c>
      <c r="K4516" s="17" t="str">
        <f>HYPERLINK("http://ictvonline.org/taxonomyHistory.asp?taxnode_id=20175981","ICTVonline=20175981")</f>
        <v>ICTVonline=20175981</v>
      </c>
      <c r="L4516" s="3">
        <v>4515</v>
      </c>
    </row>
    <row r="4517" spans="1:12" x14ac:dyDescent="0.15">
      <c r="A4517" s="1" t="s">
        <v>908</v>
      </c>
      <c r="B4517" s="1" t="s">
        <v>6398</v>
      </c>
      <c r="D4517" s="1" t="s">
        <v>6420</v>
      </c>
      <c r="E4517" s="1" t="s">
        <v>6437</v>
      </c>
      <c r="F4517" s="3">
        <v>0</v>
      </c>
      <c r="G4517" s="8" t="s">
        <v>2774</v>
      </c>
      <c r="H4517" s="8" t="s">
        <v>5159</v>
      </c>
      <c r="I4517" s="3">
        <v>32</v>
      </c>
      <c r="J4517" s="3" t="s">
        <v>6401</v>
      </c>
      <c r="K4517" s="17" t="str">
        <f>HYPERLINK("http://ictvonline.org/taxonomyHistory.asp?taxnode_id=20175982","ICTVonline=20175982")</f>
        <v>ICTVonline=20175982</v>
      </c>
      <c r="L4517" s="3">
        <v>4516</v>
      </c>
    </row>
    <row r="4518" spans="1:12" x14ac:dyDescent="0.15">
      <c r="A4518" s="1" t="s">
        <v>908</v>
      </c>
      <c r="B4518" s="1" t="s">
        <v>6398</v>
      </c>
      <c r="D4518" s="1" t="s">
        <v>6420</v>
      </c>
      <c r="E4518" s="1" t="s">
        <v>6438</v>
      </c>
      <c r="F4518" s="3">
        <v>0</v>
      </c>
      <c r="G4518" s="8" t="s">
        <v>2774</v>
      </c>
      <c r="H4518" s="8" t="s">
        <v>5159</v>
      </c>
      <c r="I4518" s="3">
        <v>32</v>
      </c>
      <c r="J4518" s="3" t="s">
        <v>6401</v>
      </c>
      <c r="K4518" s="17" t="str">
        <f>HYPERLINK("http://ictvonline.org/taxonomyHistory.asp?taxnode_id=20175983","ICTVonline=20175983")</f>
        <v>ICTVonline=20175983</v>
      </c>
      <c r="L4518" s="3">
        <v>4517</v>
      </c>
    </row>
    <row r="4519" spans="1:12" x14ac:dyDescent="0.15">
      <c r="A4519" s="1" t="s">
        <v>908</v>
      </c>
      <c r="B4519" s="1" t="s">
        <v>6398</v>
      </c>
      <c r="D4519" s="1" t="s">
        <v>6420</v>
      </c>
      <c r="E4519" s="1" t="s">
        <v>6439</v>
      </c>
      <c r="F4519" s="3">
        <v>0</v>
      </c>
      <c r="G4519" s="8" t="s">
        <v>2774</v>
      </c>
      <c r="H4519" s="8" t="s">
        <v>5159</v>
      </c>
      <c r="I4519" s="3">
        <v>32</v>
      </c>
      <c r="J4519" s="3" t="s">
        <v>6401</v>
      </c>
      <c r="K4519" s="17" t="str">
        <f>HYPERLINK("http://ictvonline.org/taxonomyHistory.asp?taxnode_id=20175984","ICTVonline=20175984")</f>
        <v>ICTVonline=20175984</v>
      </c>
      <c r="L4519" s="3">
        <v>4518</v>
      </c>
    </row>
    <row r="4520" spans="1:12" x14ac:dyDescent="0.15">
      <c r="A4520" s="1" t="s">
        <v>908</v>
      </c>
      <c r="B4520" s="1" t="s">
        <v>6398</v>
      </c>
      <c r="D4520" s="1" t="s">
        <v>6420</v>
      </c>
      <c r="E4520" s="1" t="s">
        <v>6440</v>
      </c>
      <c r="F4520" s="3">
        <v>0</v>
      </c>
      <c r="G4520" s="8" t="s">
        <v>2774</v>
      </c>
      <c r="H4520" s="8" t="s">
        <v>5159</v>
      </c>
      <c r="I4520" s="3">
        <v>32</v>
      </c>
      <c r="J4520" s="3" t="s">
        <v>6401</v>
      </c>
      <c r="K4520" s="17" t="str">
        <f>HYPERLINK("http://ictvonline.org/taxonomyHistory.asp?taxnode_id=20175985","ICTVonline=20175985")</f>
        <v>ICTVonline=20175985</v>
      </c>
      <c r="L4520" s="3">
        <v>4519</v>
      </c>
    </row>
    <row r="4521" spans="1:12" x14ac:dyDescent="0.15">
      <c r="A4521" s="1" t="s">
        <v>908</v>
      </c>
      <c r="B4521" s="1" t="s">
        <v>6398</v>
      </c>
      <c r="D4521" s="1" t="s">
        <v>6420</v>
      </c>
      <c r="E4521" s="1" t="s">
        <v>6441</v>
      </c>
      <c r="F4521" s="3">
        <v>0</v>
      </c>
      <c r="G4521" s="8" t="s">
        <v>2774</v>
      </c>
      <c r="H4521" s="8" t="s">
        <v>5159</v>
      </c>
      <c r="I4521" s="3">
        <v>32</v>
      </c>
      <c r="J4521" s="3" t="s">
        <v>6401</v>
      </c>
      <c r="K4521" s="17" t="str">
        <f>HYPERLINK("http://ictvonline.org/taxonomyHistory.asp?taxnode_id=20175986","ICTVonline=20175986")</f>
        <v>ICTVonline=20175986</v>
      </c>
      <c r="L4521" s="3">
        <v>4520</v>
      </c>
    </row>
    <row r="4522" spans="1:12" x14ac:dyDescent="0.15">
      <c r="A4522" s="1" t="s">
        <v>908</v>
      </c>
      <c r="B4522" s="1" t="s">
        <v>6398</v>
      </c>
      <c r="D4522" s="1" t="s">
        <v>6420</v>
      </c>
      <c r="E4522" s="1" t="s">
        <v>6442</v>
      </c>
      <c r="F4522" s="3">
        <v>0</v>
      </c>
      <c r="G4522" s="8" t="s">
        <v>2774</v>
      </c>
      <c r="H4522" s="8" t="s">
        <v>5159</v>
      </c>
      <c r="I4522" s="3">
        <v>32</v>
      </c>
      <c r="J4522" s="3" t="s">
        <v>6401</v>
      </c>
      <c r="K4522" s="17" t="str">
        <f>HYPERLINK("http://ictvonline.org/taxonomyHistory.asp?taxnode_id=20175978","ICTVonline=20175978")</f>
        <v>ICTVonline=20175978</v>
      </c>
      <c r="L4522" s="3">
        <v>4521</v>
      </c>
    </row>
    <row r="4523" spans="1:12" x14ac:dyDescent="0.15">
      <c r="A4523" s="1" t="s">
        <v>908</v>
      </c>
      <c r="B4523" s="1" t="s">
        <v>6398</v>
      </c>
      <c r="D4523" s="1" t="s">
        <v>6420</v>
      </c>
      <c r="E4523" s="1" t="s">
        <v>6443</v>
      </c>
      <c r="F4523" s="3">
        <v>0</v>
      </c>
      <c r="G4523" s="8" t="s">
        <v>2774</v>
      </c>
      <c r="H4523" s="8" t="s">
        <v>5159</v>
      </c>
      <c r="I4523" s="3">
        <v>32</v>
      </c>
      <c r="J4523" s="3" t="s">
        <v>6401</v>
      </c>
      <c r="K4523" s="17" t="str">
        <f>HYPERLINK("http://ictvonline.org/taxonomyHistory.asp?taxnode_id=20175987","ICTVonline=20175987")</f>
        <v>ICTVonline=20175987</v>
      </c>
      <c r="L4523" s="3">
        <v>4522</v>
      </c>
    </row>
    <row r="4524" spans="1:12" x14ac:dyDescent="0.15">
      <c r="A4524" s="1" t="s">
        <v>908</v>
      </c>
      <c r="B4524" s="1" t="s">
        <v>6398</v>
      </c>
      <c r="D4524" s="1" t="s">
        <v>6420</v>
      </c>
      <c r="E4524" s="1" t="s">
        <v>6444</v>
      </c>
      <c r="F4524" s="3">
        <v>0</v>
      </c>
      <c r="G4524" s="8" t="s">
        <v>2774</v>
      </c>
      <c r="H4524" s="8" t="s">
        <v>5159</v>
      </c>
      <c r="I4524" s="3">
        <v>32</v>
      </c>
      <c r="J4524" s="3" t="s">
        <v>6401</v>
      </c>
      <c r="K4524" s="17" t="str">
        <f>HYPERLINK("http://ictvonline.org/taxonomyHistory.asp?taxnode_id=20175988","ICTVonline=20175988")</f>
        <v>ICTVonline=20175988</v>
      </c>
      <c r="L4524" s="3">
        <v>4523</v>
      </c>
    </row>
    <row r="4525" spans="1:12" x14ac:dyDescent="0.15">
      <c r="A4525" s="1" t="s">
        <v>908</v>
      </c>
      <c r="B4525" s="1" t="s">
        <v>6398</v>
      </c>
      <c r="D4525" s="1" t="s">
        <v>6420</v>
      </c>
      <c r="E4525" s="1" t="s">
        <v>6445</v>
      </c>
      <c r="F4525" s="3">
        <v>0</v>
      </c>
      <c r="G4525" s="8" t="s">
        <v>2774</v>
      </c>
      <c r="H4525" s="8" t="s">
        <v>5159</v>
      </c>
      <c r="I4525" s="3">
        <v>32</v>
      </c>
      <c r="J4525" s="3" t="s">
        <v>6401</v>
      </c>
      <c r="K4525" s="17" t="str">
        <f>HYPERLINK("http://ictvonline.org/taxonomyHistory.asp?taxnode_id=20175989","ICTVonline=20175989")</f>
        <v>ICTVonline=20175989</v>
      </c>
      <c r="L4525" s="3">
        <v>4524</v>
      </c>
    </row>
    <row r="4526" spans="1:12" x14ac:dyDescent="0.15">
      <c r="A4526" s="1" t="s">
        <v>908</v>
      </c>
      <c r="B4526" s="1" t="s">
        <v>6398</v>
      </c>
      <c r="D4526" s="1" t="s">
        <v>6420</v>
      </c>
      <c r="E4526" s="1" t="s">
        <v>6446</v>
      </c>
      <c r="F4526" s="3">
        <v>0</v>
      </c>
      <c r="G4526" s="8" t="s">
        <v>2774</v>
      </c>
      <c r="H4526" s="8" t="s">
        <v>5159</v>
      </c>
      <c r="I4526" s="3">
        <v>32</v>
      </c>
      <c r="J4526" s="3" t="s">
        <v>6401</v>
      </c>
      <c r="K4526" s="17" t="str">
        <f>HYPERLINK("http://ictvonline.org/taxonomyHistory.asp?taxnode_id=20175990","ICTVonline=20175990")</f>
        <v>ICTVonline=20175990</v>
      </c>
      <c r="L4526" s="3">
        <v>4525</v>
      </c>
    </row>
    <row r="4527" spans="1:12" x14ac:dyDescent="0.15">
      <c r="A4527" s="1" t="s">
        <v>908</v>
      </c>
      <c r="B4527" s="1" t="s">
        <v>6398</v>
      </c>
      <c r="D4527" s="1" t="s">
        <v>6420</v>
      </c>
      <c r="E4527" s="1" t="s">
        <v>6447</v>
      </c>
      <c r="F4527" s="3">
        <v>0</v>
      </c>
      <c r="G4527" s="8" t="s">
        <v>2774</v>
      </c>
      <c r="H4527" s="8" t="s">
        <v>5159</v>
      </c>
      <c r="I4527" s="3">
        <v>32</v>
      </c>
      <c r="J4527" s="3" t="s">
        <v>6401</v>
      </c>
      <c r="K4527" s="17" t="str">
        <f>HYPERLINK("http://ictvonline.org/taxonomyHistory.asp?taxnode_id=20175991","ICTVonline=20175991")</f>
        <v>ICTVonline=20175991</v>
      </c>
      <c r="L4527" s="3">
        <v>4526</v>
      </c>
    </row>
    <row r="4528" spans="1:12" x14ac:dyDescent="0.15">
      <c r="A4528" s="1" t="s">
        <v>908</v>
      </c>
      <c r="B4528" s="1" t="s">
        <v>6448</v>
      </c>
      <c r="D4528" s="1" t="s">
        <v>399</v>
      </c>
      <c r="E4528" s="1" t="s">
        <v>400</v>
      </c>
      <c r="F4528" s="3">
        <v>1</v>
      </c>
      <c r="G4528" s="8" t="s">
        <v>2773</v>
      </c>
      <c r="H4528" s="8" t="s">
        <v>5161</v>
      </c>
      <c r="I4528" s="3">
        <v>32</v>
      </c>
      <c r="J4528" s="3" t="s">
        <v>6449</v>
      </c>
      <c r="K4528" s="17" t="str">
        <f>HYPERLINK("http://ictvonline.org/taxonomyHistory.asp?taxnode_id=20175362","ICTVonline=20175362")</f>
        <v>ICTVonline=20175362</v>
      </c>
      <c r="L4528" s="3">
        <v>4527</v>
      </c>
    </row>
    <row r="4529" spans="1:12" x14ac:dyDescent="0.15">
      <c r="A4529" s="1" t="s">
        <v>908</v>
      </c>
      <c r="B4529" s="1" t="s">
        <v>6448</v>
      </c>
      <c r="D4529" s="1" t="s">
        <v>1013</v>
      </c>
      <c r="E4529" s="1" t="s">
        <v>4180</v>
      </c>
      <c r="F4529" s="3">
        <v>0</v>
      </c>
      <c r="G4529" s="8" t="s">
        <v>2773</v>
      </c>
      <c r="H4529" s="8" t="s">
        <v>5161</v>
      </c>
      <c r="I4529" s="3">
        <v>32</v>
      </c>
      <c r="J4529" s="3" t="s">
        <v>6449</v>
      </c>
      <c r="K4529" s="17" t="str">
        <f>HYPERLINK("http://ictvonline.org/taxonomyHistory.asp?taxnode_id=20175371","ICTVonline=20175371")</f>
        <v>ICTVonline=20175371</v>
      </c>
      <c r="L4529" s="3">
        <v>4528</v>
      </c>
    </row>
    <row r="4530" spans="1:12" x14ac:dyDescent="0.15">
      <c r="A4530" s="1" t="s">
        <v>908</v>
      </c>
      <c r="B4530" s="1" t="s">
        <v>6448</v>
      </c>
      <c r="D4530" s="1" t="s">
        <v>1013</v>
      </c>
      <c r="E4530" s="1" t="s">
        <v>1014</v>
      </c>
      <c r="F4530" s="3">
        <v>0</v>
      </c>
      <c r="G4530" s="8" t="s">
        <v>2773</v>
      </c>
      <c r="H4530" s="8" t="s">
        <v>5161</v>
      </c>
      <c r="I4530" s="3">
        <v>32</v>
      </c>
      <c r="J4530" s="3" t="s">
        <v>6449</v>
      </c>
      <c r="K4530" s="17" t="str">
        <f>HYPERLINK("http://ictvonline.org/taxonomyHistory.asp?taxnode_id=20175372","ICTVonline=20175372")</f>
        <v>ICTVonline=20175372</v>
      </c>
      <c r="L4530" s="3">
        <v>4529</v>
      </c>
    </row>
    <row r="4531" spans="1:12" x14ac:dyDescent="0.15">
      <c r="A4531" s="1" t="s">
        <v>908</v>
      </c>
      <c r="B4531" s="1" t="s">
        <v>6448</v>
      </c>
      <c r="D4531" s="1" t="s">
        <v>1013</v>
      </c>
      <c r="E4531" s="1" t="s">
        <v>1015</v>
      </c>
      <c r="F4531" s="3">
        <v>0</v>
      </c>
      <c r="G4531" s="8" t="s">
        <v>2773</v>
      </c>
      <c r="H4531" s="8" t="s">
        <v>5161</v>
      </c>
      <c r="I4531" s="3">
        <v>32</v>
      </c>
      <c r="J4531" s="3" t="s">
        <v>6449</v>
      </c>
      <c r="K4531" s="17" t="str">
        <f>HYPERLINK("http://ictvonline.org/taxonomyHistory.asp?taxnode_id=20175373","ICTVonline=20175373")</f>
        <v>ICTVonline=20175373</v>
      </c>
      <c r="L4531" s="3">
        <v>4530</v>
      </c>
    </row>
    <row r="4532" spans="1:12" x14ac:dyDescent="0.15">
      <c r="A4532" s="1" t="s">
        <v>908</v>
      </c>
      <c r="B4532" s="1" t="s">
        <v>6448</v>
      </c>
      <c r="D4532" s="1" t="s">
        <v>1013</v>
      </c>
      <c r="E4532" s="1" t="s">
        <v>4181</v>
      </c>
      <c r="F4532" s="3">
        <v>0</v>
      </c>
      <c r="G4532" s="8" t="s">
        <v>2773</v>
      </c>
      <c r="H4532" s="8" t="s">
        <v>5161</v>
      </c>
      <c r="I4532" s="3">
        <v>32</v>
      </c>
      <c r="J4532" s="3" t="s">
        <v>6449</v>
      </c>
      <c r="K4532" s="17" t="str">
        <f>HYPERLINK("http://ictvonline.org/taxonomyHistory.asp?taxnode_id=20175374","ICTVonline=20175374")</f>
        <v>ICTVonline=20175374</v>
      </c>
      <c r="L4532" s="3">
        <v>4531</v>
      </c>
    </row>
    <row r="4533" spans="1:12" x14ac:dyDescent="0.15">
      <c r="A4533" s="1" t="s">
        <v>908</v>
      </c>
      <c r="B4533" s="1" t="s">
        <v>6448</v>
      </c>
      <c r="D4533" s="1" t="s">
        <v>1013</v>
      </c>
      <c r="E4533" s="1" t="s">
        <v>216</v>
      </c>
      <c r="F4533" s="3">
        <v>0</v>
      </c>
      <c r="G4533" s="8" t="s">
        <v>2773</v>
      </c>
      <c r="H4533" s="8" t="s">
        <v>5161</v>
      </c>
      <c r="I4533" s="3">
        <v>32</v>
      </c>
      <c r="J4533" s="3" t="s">
        <v>6449</v>
      </c>
      <c r="K4533" s="17" t="str">
        <f>HYPERLINK("http://ictvonline.org/taxonomyHistory.asp?taxnode_id=20175375","ICTVonline=20175375")</f>
        <v>ICTVonline=20175375</v>
      </c>
      <c r="L4533" s="3">
        <v>4532</v>
      </c>
    </row>
    <row r="4534" spans="1:12" x14ac:dyDescent="0.15">
      <c r="A4534" s="1" t="s">
        <v>908</v>
      </c>
      <c r="B4534" s="1" t="s">
        <v>6448</v>
      </c>
      <c r="D4534" s="1" t="s">
        <v>1013</v>
      </c>
      <c r="E4534" s="1" t="s">
        <v>1016</v>
      </c>
      <c r="F4534" s="3">
        <v>0</v>
      </c>
      <c r="G4534" s="8" t="s">
        <v>2773</v>
      </c>
      <c r="H4534" s="8" t="s">
        <v>5161</v>
      </c>
      <c r="I4534" s="3">
        <v>32</v>
      </c>
      <c r="J4534" s="3" t="s">
        <v>6449</v>
      </c>
      <c r="K4534" s="17" t="str">
        <f>HYPERLINK("http://ictvonline.org/taxonomyHistory.asp?taxnode_id=20175376","ICTVonline=20175376")</f>
        <v>ICTVonline=20175376</v>
      </c>
      <c r="L4534" s="3">
        <v>4533</v>
      </c>
    </row>
    <row r="4535" spans="1:12" x14ac:dyDescent="0.15">
      <c r="A4535" s="1" t="s">
        <v>908</v>
      </c>
      <c r="B4535" s="1" t="s">
        <v>6448</v>
      </c>
      <c r="D4535" s="1" t="s">
        <v>1013</v>
      </c>
      <c r="E4535" s="1" t="s">
        <v>4182</v>
      </c>
      <c r="F4535" s="3">
        <v>0</v>
      </c>
      <c r="G4535" s="8" t="s">
        <v>2773</v>
      </c>
      <c r="H4535" s="8" t="s">
        <v>5161</v>
      </c>
      <c r="I4535" s="3">
        <v>32</v>
      </c>
      <c r="J4535" s="3" t="s">
        <v>6449</v>
      </c>
      <c r="K4535" s="17" t="str">
        <f>HYPERLINK("http://ictvonline.org/taxonomyHistory.asp?taxnode_id=20175377","ICTVonline=20175377")</f>
        <v>ICTVonline=20175377</v>
      </c>
      <c r="L4535" s="3">
        <v>4534</v>
      </c>
    </row>
    <row r="4536" spans="1:12" x14ac:dyDescent="0.15">
      <c r="A4536" s="1" t="s">
        <v>908</v>
      </c>
      <c r="B4536" s="1" t="s">
        <v>6448</v>
      </c>
      <c r="D4536" s="1" t="s">
        <v>1013</v>
      </c>
      <c r="E4536" s="1" t="s">
        <v>1017</v>
      </c>
      <c r="F4536" s="3">
        <v>0</v>
      </c>
      <c r="G4536" s="8" t="s">
        <v>2773</v>
      </c>
      <c r="H4536" s="8" t="s">
        <v>5161</v>
      </c>
      <c r="I4536" s="3">
        <v>32</v>
      </c>
      <c r="J4536" s="3" t="s">
        <v>6449</v>
      </c>
      <c r="K4536" s="17" t="str">
        <f>HYPERLINK("http://ictvonline.org/taxonomyHistory.asp?taxnode_id=20175378","ICTVonline=20175378")</f>
        <v>ICTVonline=20175378</v>
      </c>
      <c r="L4536" s="3">
        <v>4535</v>
      </c>
    </row>
    <row r="4537" spans="1:12" x14ac:dyDescent="0.15">
      <c r="A4537" s="1" t="s">
        <v>908</v>
      </c>
      <c r="B4537" s="1" t="s">
        <v>6448</v>
      </c>
      <c r="D4537" s="1" t="s">
        <v>1013</v>
      </c>
      <c r="E4537" s="1" t="s">
        <v>4183</v>
      </c>
      <c r="F4537" s="3">
        <v>0</v>
      </c>
      <c r="G4537" s="8" t="s">
        <v>2773</v>
      </c>
      <c r="H4537" s="8" t="s">
        <v>5161</v>
      </c>
      <c r="I4537" s="3">
        <v>32</v>
      </c>
      <c r="J4537" s="3" t="s">
        <v>6449</v>
      </c>
      <c r="K4537" s="17" t="str">
        <f>HYPERLINK("http://ictvonline.org/taxonomyHistory.asp?taxnode_id=20175379","ICTVonline=20175379")</f>
        <v>ICTVonline=20175379</v>
      </c>
      <c r="L4537" s="3">
        <v>4536</v>
      </c>
    </row>
    <row r="4538" spans="1:12" x14ac:dyDescent="0.15">
      <c r="A4538" s="1" t="s">
        <v>908</v>
      </c>
      <c r="B4538" s="1" t="s">
        <v>6448</v>
      </c>
      <c r="D4538" s="1" t="s">
        <v>1013</v>
      </c>
      <c r="E4538" s="1" t="s">
        <v>1018</v>
      </c>
      <c r="F4538" s="3">
        <v>0</v>
      </c>
      <c r="G4538" s="8" t="s">
        <v>2773</v>
      </c>
      <c r="H4538" s="8" t="s">
        <v>5161</v>
      </c>
      <c r="I4538" s="3">
        <v>32</v>
      </c>
      <c r="J4538" s="3" t="s">
        <v>6449</v>
      </c>
      <c r="K4538" s="17" t="str">
        <f>HYPERLINK("http://ictvonline.org/taxonomyHistory.asp?taxnode_id=20175380","ICTVonline=20175380")</f>
        <v>ICTVonline=20175380</v>
      </c>
      <c r="L4538" s="3">
        <v>4537</v>
      </c>
    </row>
    <row r="4539" spans="1:12" x14ac:dyDescent="0.15">
      <c r="A4539" s="1" t="s">
        <v>908</v>
      </c>
      <c r="B4539" s="1" t="s">
        <v>6448</v>
      </c>
      <c r="D4539" s="1" t="s">
        <v>1013</v>
      </c>
      <c r="E4539" s="1" t="s">
        <v>1423</v>
      </c>
      <c r="F4539" s="3">
        <v>0</v>
      </c>
      <c r="G4539" s="8" t="s">
        <v>2773</v>
      </c>
      <c r="H4539" s="8" t="s">
        <v>5161</v>
      </c>
      <c r="I4539" s="3">
        <v>32</v>
      </c>
      <c r="J4539" s="3" t="s">
        <v>6449</v>
      </c>
      <c r="K4539" s="17" t="str">
        <f>HYPERLINK("http://ictvonline.org/taxonomyHistory.asp?taxnode_id=20175381","ICTVonline=20175381")</f>
        <v>ICTVonline=20175381</v>
      </c>
      <c r="L4539" s="3">
        <v>4538</v>
      </c>
    </row>
    <row r="4540" spans="1:12" x14ac:dyDescent="0.15">
      <c r="A4540" s="1" t="s">
        <v>908</v>
      </c>
      <c r="B4540" s="1" t="s">
        <v>6448</v>
      </c>
      <c r="D4540" s="1" t="s">
        <v>1013</v>
      </c>
      <c r="E4540" s="1" t="s">
        <v>1424</v>
      </c>
      <c r="F4540" s="3">
        <v>0</v>
      </c>
      <c r="G4540" s="8" t="s">
        <v>2773</v>
      </c>
      <c r="H4540" s="8" t="s">
        <v>5161</v>
      </c>
      <c r="I4540" s="3">
        <v>32</v>
      </c>
      <c r="J4540" s="3" t="s">
        <v>6449</v>
      </c>
      <c r="K4540" s="17" t="str">
        <f>HYPERLINK("http://ictvonline.org/taxonomyHistory.asp?taxnode_id=20175382","ICTVonline=20175382")</f>
        <v>ICTVonline=20175382</v>
      </c>
      <c r="L4540" s="3">
        <v>4539</v>
      </c>
    </row>
    <row r="4541" spans="1:12" x14ac:dyDescent="0.15">
      <c r="A4541" s="1" t="s">
        <v>908</v>
      </c>
      <c r="B4541" s="1" t="s">
        <v>6448</v>
      </c>
      <c r="D4541" s="1" t="s">
        <v>1013</v>
      </c>
      <c r="E4541" s="1" t="s">
        <v>1425</v>
      </c>
      <c r="F4541" s="3">
        <v>1</v>
      </c>
      <c r="G4541" s="8" t="s">
        <v>2773</v>
      </c>
      <c r="H4541" s="8" t="s">
        <v>5161</v>
      </c>
      <c r="I4541" s="3">
        <v>32</v>
      </c>
      <c r="J4541" s="3" t="s">
        <v>6449</v>
      </c>
      <c r="K4541" s="17" t="str">
        <f>HYPERLINK("http://ictvonline.org/taxonomyHistory.asp?taxnode_id=20175383","ICTVonline=20175383")</f>
        <v>ICTVonline=20175383</v>
      </c>
      <c r="L4541" s="3">
        <v>4540</v>
      </c>
    </row>
    <row r="4542" spans="1:12" x14ac:dyDescent="0.15">
      <c r="A4542" s="1" t="s">
        <v>908</v>
      </c>
      <c r="B4542" s="1" t="s">
        <v>6448</v>
      </c>
      <c r="D4542" s="1" t="s">
        <v>1013</v>
      </c>
      <c r="E4542" s="1" t="s">
        <v>1426</v>
      </c>
      <c r="F4542" s="3">
        <v>0</v>
      </c>
      <c r="G4542" s="8" t="s">
        <v>2773</v>
      </c>
      <c r="H4542" s="8" t="s">
        <v>5161</v>
      </c>
      <c r="I4542" s="3">
        <v>32</v>
      </c>
      <c r="J4542" s="3" t="s">
        <v>6449</v>
      </c>
      <c r="K4542" s="17" t="str">
        <f>HYPERLINK("http://ictvonline.org/taxonomyHistory.asp?taxnode_id=20175384","ICTVonline=20175384")</f>
        <v>ICTVonline=20175384</v>
      </c>
      <c r="L4542" s="3">
        <v>4541</v>
      </c>
    </row>
    <row r="4543" spans="1:12" x14ac:dyDescent="0.15">
      <c r="A4543" s="1" t="s">
        <v>908</v>
      </c>
      <c r="B4543" s="1" t="s">
        <v>6448</v>
      </c>
      <c r="D4543" s="1" t="s">
        <v>1013</v>
      </c>
      <c r="E4543" s="1" t="s">
        <v>1089</v>
      </c>
      <c r="F4543" s="3">
        <v>0</v>
      </c>
      <c r="G4543" s="8" t="s">
        <v>2773</v>
      </c>
      <c r="H4543" s="8" t="s">
        <v>5161</v>
      </c>
      <c r="I4543" s="3">
        <v>32</v>
      </c>
      <c r="J4543" s="3" t="s">
        <v>6449</v>
      </c>
      <c r="K4543" s="17" t="str">
        <f>HYPERLINK("http://ictvonline.org/taxonomyHistory.asp?taxnode_id=20175385","ICTVonline=20175385")</f>
        <v>ICTVonline=20175385</v>
      </c>
      <c r="L4543" s="3">
        <v>4542</v>
      </c>
    </row>
    <row r="4544" spans="1:12" x14ac:dyDescent="0.15">
      <c r="A4544" s="1" t="s">
        <v>908</v>
      </c>
      <c r="B4544" s="1" t="s">
        <v>6448</v>
      </c>
      <c r="D4544" s="1" t="s">
        <v>1013</v>
      </c>
      <c r="E4544" s="1" t="s">
        <v>4184</v>
      </c>
      <c r="F4544" s="3">
        <v>0</v>
      </c>
      <c r="G4544" s="8" t="s">
        <v>2773</v>
      </c>
      <c r="H4544" s="8" t="s">
        <v>5161</v>
      </c>
      <c r="I4544" s="3">
        <v>32</v>
      </c>
      <c r="J4544" s="3" t="s">
        <v>6449</v>
      </c>
      <c r="K4544" s="17" t="str">
        <f>HYPERLINK("http://ictvonline.org/taxonomyHistory.asp?taxnode_id=20175386","ICTVonline=20175386")</f>
        <v>ICTVonline=20175386</v>
      </c>
      <c r="L4544" s="3">
        <v>4543</v>
      </c>
    </row>
    <row r="4545" spans="1:12" x14ac:dyDescent="0.15">
      <c r="A4545" s="1" t="s">
        <v>908</v>
      </c>
      <c r="B4545" s="1" t="s">
        <v>6448</v>
      </c>
      <c r="D4545" s="1" t="s">
        <v>1013</v>
      </c>
      <c r="E4545" s="1" t="s">
        <v>1090</v>
      </c>
      <c r="F4545" s="3">
        <v>0</v>
      </c>
      <c r="G4545" s="8" t="s">
        <v>2773</v>
      </c>
      <c r="H4545" s="8" t="s">
        <v>5161</v>
      </c>
      <c r="I4545" s="3">
        <v>32</v>
      </c>
      <c r="J4545" s="3" t="s">
        <v>6449</v>
      </c>
      <c r="K4545" s="17" t="str">
        <f>HYPERLINK("http://ictvonline.org/taxonomyHistory.asp?taxnode_id=20175387","ICTVonline=20175387")</f>
        <v>ICTVonline=20175387</v>
      </c>
      <c r="L4545" s="3">
        <v>4544</v>
      </c>
    </row>
    <row r="4546" spans="1:12" x14ac:dyDescent="0.15">
      <c r="A4546" s="1" t="s">
        <v>908</v>
      </c>
      <c r="B4546" s="1" t="s">
        <v>6448</v>
      </c>
      <c r="D4546" s="1" t="s">
        <v>1013</v>
      </c>
      <c r="E4546" s="1" t="s">
        <v>1091</v>
      </c>
      <c r="F4546" s="3">
        <v>0</v>
      </c>
      <c r="G4546" s="8" t="s">
        <v>2773</v>
      </c>
      <c r="H4546" s="8" t="s">
        <v>5161</v>
      </c>
      <c r="I4546" s="3">
        <v>32</v>
      </c>
      <c r="J4546" s="3" t="s">
        <v>6449</v>
      </c>
      <c r="K4546" s="17" t="str">
        <f>HYPERLINK("http://ictvonline.org/taxonomyHistory.asp?taxnode_id=20175388","ICTVonline=20175388")</f>
        <v>ICTVonline=20175388</v>
      </c>
      <c r="L4546" s="3">
        <v>4545</v>
      </c>
    </row>
    <row r="4547" spans="1:12" x14ac:dyDescent="0.15">
      <c r="A4547" s="1" t="s">
        <v>908</v>
      </c>
      <c r="B4547" s="1" t="s">
        <v>6448</v>
      </c>
      <c r="D4547" s="1" t="s">
        <v>1013</v>
      </c>
      <c r="E4547" s="1" t="s">
        <v>1092</v>
      </c>
      <c r="F4547" s="3">
        <v>0</v>
      </c>
      <c r="G4547" s="8" t="s">
        <v>2773</v>
      </c>
      <c r="H4547" s="8" t="s">
        <v>5161</v>
      </c>
      <c r="I4547" s="3">
        <v>32</v>
      </c>
      <c r="J4547" s="3" t="s">
        <v>6449</v>
      </c>
      <c r="K4547" s="17" t="str">
        <f>HYPERLINK("http://ictvonline.org/taxonomyHistory.asp?taxnode_id=20175389","ICTVonline=20175389")</f>
        <v>ICTVonline=20175389</v>
      </c>
      <c r="L4547" s="3">
        <v>4546</v>
      </c>
    </row>
    <row r="4548" spans="1:12" x14ac:dyDescent="0.15">
      <c r="A4548" s="1" t="s">
        <v>908</v>
      </c>
      <c r="B4548" s="1" t="s">
        <v>5067</v>
      </c>
      <c r="D4548" s="1" t="s">
        <v>5068</v>
      </c>
      <c r="E4548" s="1" t="s">
        <v>5069</v>
      </c>
      <c r="F4548" s="3">
        <v>1</v>
      </c>
      <c r="G4548" s="8" t="s">
        <v>2773</v>
      </c>
      <c r="H4548" s="8" t="s">
        <v>5159</v>
      </c>
      <c r="I4548" s="3">
        <v>31</v>
      </c>
      <c r="J4548" s="3" t="s">
        <v>6450</v>
      </c>
      <c r="K4548" s="17" t="str">
        <f>HYPERLINK("http://ictvonline.org/taxonomyHistory.asp?taxnode_id=20175051","ICTVonline=20175051")</f>
        <v>ICTVonline=20175051</v>
      </c>
      <c r="L4548" s="3">
        <v>4547</v>
      </c>
    </row>
    <row r="4549" spans="1:12" x14ac:dyDescent="0.15">
      <c r="A4549" s="1" t="s">
        <v>908</v>
      </c>
      <c r="B4549" s="1" t="s">
        <v>5067</v>
      </c>
      <c r="D4549" s="1" t="s">
        <v>5070</v>
      </c>
      <c r="E4549" s="1" t="s">
        <v>5071</v>
      </c>
      <c r="F4549" s="3">
        <v>1</v>
      </c>
      <c r="G4549" s="8" t="s">
        <v>2773</v>
      </c>
      <c r="H4549" s="8" t="s">
        <v>5159</v>
      </c>
      <c r="I4549" s="3">
        <v>31</v>
      </c>
      <c r="J4549" s="3" t="s">
        <v>6450</v>
      </c>
      <c r="K4549" s="17" t="str">
        <f>HYPERLINK("http://ictvonline.org/taxonomyHistory.asp?taxnode_id=20175053","ICTVonline=20175053")</f>
        <v>ICTVonline=20175053</v>
      </c>
      <c r="L4549" s="3">
        <v>4548</v>
      </c>
    </row>
    <row r="4550" spans="1:12" x14ac:dyDescent="0.15">
      <c r="A4550" s="1" t="s">
        <v>908</v>
      </c>
      <c r="B4550" s="1" t="s">
        <v>2755</v>
      </c>
      <c r="D4550" s="1" t="s">
        <v>2756</v>
      </c>
      <c r="E4550" s="1" t="s">
        <v>2757</v>
      </c>
      <c r="F4550" s="3">
        <v>0</v>
      </c>
      <c r="G4550" s="8" t="s">
        <v>2771</v>
      </c>
      <c r="H4550" s="8" t="s">
        <v>5159</v>
      </c>
      <c r="I4550" s="3">
        <v>29</v>
      </c>
      <c r="J4550" s="3" t="s">
        <v>6451</v>
      </c>
      <c r="K4550" s="17" t="str">
        <f>HYPERLINK("http://ictvonline.org/taxonomyHistory.asp?taxnode_id=20175057","ICTVonline=20175057")</f>
        <v>ICTVonline=20175057</v>
      </c>
      <c r="L4550" s="3">
        <v>4549</v>
      </c>
    </row>
    <row r="4551" spans="1:12" x14ac:dyDescent="0.15">
      <c r="A4551" s="1" t="s">
        <v>908</v>
      </c>
      <c r="B4551" s="1" t="s">
        <v>2755</v>
      </c>
      <c r="D4551" s="1" t="s">
        <v>2756</v>
      </c>
      <c r="E4551" s="1" t="s">
        <v>2768</v>
      </c>
      <c r="F4551" s="3">
        <v>0</v>
      </c>
      <c r="G4551" s="8" t="s">
        <v>2771</v>
      </c>
      <c r="H4551" s="8" t="s">
        <v>5159</v>
      </c>
      <c r="I4551" s="3">
        <v>29</v>
      </c>
      <c r="J4551" s="3" t="s">
        <v>6451</v>
      </c>
      <c r="K4551" s="17" t="str">
        <f>HYPERLINK("http://ictvonline.org/taxonomyHistory.asp?taxnode_id=20175058","ICTVonline=20175058")</f>
        <v>ICTVonline=20175058</v>
      </c>
      <c r="L4551" s="3">
        <v>4550</v>
      </c>
    </row>
    <row r="4552" spans="1:12" x14ac:dyDescent="0.15">
      <c r="A4552" s="1" t="s">
        <v>908</v>
      </c>
      <c r="B4552" s="1" t="s">
        <v>2755</v>
      </c>
      <c r="D4552" s="1" t="s">
        <v>2756</v>
      </c>
      <c r="E4552" s="1" t="s">
        <v>2769</v>
      </c>
      <c r="F4552" s="3">
        <v>1</v>
      </c>
      <c r="G4552" s="8" t="s">
        <v>2771</v>
      </c>
      <c r="H4552" s="8" t="s">
        <v>5159</v>
      </c>
      <c r="I4552" s="3">
        <v>29</v>
      </c>
      <c r="J4552" s="3" t="s">
        <v>6451</v>
      </c>
      <c r="K4552" s="17" t="str">
        <f>HYPERLINK("http://ictvonline.org/taxonomyHistory.asp?taxnode_id=20175059","ICTVonline=20175059")</f>
        <v>ICTVonline=20175059</v>
      </c>
      <c r="L4552" s="3">
        <v>4551</v>
      </c>
    </row>
    <row r="4553" spans="1:12" x14ac:dyDescent="0.15">
      <c r="A4553" s="1" t="s">
        <v>908</v>
      </c>
      <c r="B4553" s="1" t="s">
        <v>2755</v>
      </c>
      <c r="D4553" s="1" t="s">
        <v>2756</v>
      </c>
      <c r="E4553" s="1" t="s">
        <v>5072</v>
      </c>
      <c r="F4553" s="3">
        <v>0</v>
      </c>
      <c r="G4553" s="8" t="s">
        <v>2771</v>
      </c>
      <c r="H4553" s="8" t="s">
        <v>5159</v>
      </c>
      <c r="I4553" s="3">
        <v>31</v>
      </c>
      <c r="J4553" s="3" t="s">
        <v>6452</v>
      </c>
      <c r="K4553" s="17" t="str">
        <f>HYPERLINK("http://ictvonline.org/taxonomyHistory.asp?taxnode_id=20175060","ICTVonline=20175060")</f>
        <v>ICTVonline=20175060</v>
      </c>
      <c r="L4553" s="3">
        <v>4552</v>
      </c>
    </row>
    <row r="4554" spans="1:12" x14ac:dyDescent="0.15">
      <c r="A4554" s="1" t="s">
        <v>908</v>
      </c>
      <c r="B4554" s="1" t="s">
        <v>2755</v>
      </c>
      <c r="D4554" s="1" t="s">
        <v>2758</v>
      </c>
      <c r="E4554" s="1" t="s">
        <v>2770</v>
      </c>
      <c r="F4554" s="3">
        <v>1</v>
      </c>
      <c r="G4554" s="8" t="s">
        <v>2771</v>
      </c>
      <c r="H4554" s="8" t="s">
        <v>5159</v>
      </c>
      <c r="I4554" s="3">
        <v>29</v>
      </c>
      <c r="J4554" s="3" t="s">
        <v>6451</v>
      </c>
      <c r="K4554" s="17" t="str">
        <f>HYPERLINK("http://ictvonline.org/taxonomyHistory.asp?taxnode_id=20175062","ICTVonline=20175062")</f>
        <v>ICTVonline=20175062</v>
      </c>
      <c r="L4554" s="3">
        <v>4553</v>
      </c>
    </row>
    <row r="4555" spans="1:12" x14ac:dyDescent="0.15">
      <c r="A4555" s="1" t="s">
        <v>908</v>
      </c>
      <c r="B4555" s="1" t="s">
        <v>2755</v>
      </c>
      <c r="D4555" s="1" t="s">
        <v>2759</v>
      </c>
      <c r="E4555" s="1" t="s">
        <v>4158</v>
      </c>
      <c r="F4555" s="3">
        <v>0</v>
      </c>
      <c r="G4555" s="8" t="s">
        <v>2771</v>
      </c>
      <c r="H4555" s="8" t="s">
        <v>5162</v>
      </c>
      <c r="I4555" s="3">
        <v>30</v>
      </c>
      <c r="J4555" s="3" t="s">
        <v>6451</v>
      </c>
      <c r="K4555" s="17" t="str">
        <f>HYPERLINK("http://ictvonline.org/taxonomyHistory.asp?taxnode_id=20175064","ICTVonline=20175064")</f>
        <v>ICTVonline=20175064</v>
      </c>
      <c r="L4555" s="3">
        <v>4554</v>
      </c>
    </row>
    <row r="4556" spans="1:12" x14ac:dyDescent="0.15">
      <c r="A4556" s="1" t="s">
        <v>908</v>
      </c>
      <c r="B4556" s="1" t="s">
        <v>2755</v>
      </c>
      <c r="D4556" s="1" t="s">
        <v>2759</v>
      </c>
      <c r="E4556" s="1" t="s">
        <v>4159</v>
      </c>
      <c r="F4556" s="3">
        <v>1</v>
      </c>
      <c r="G4556" s="8" t="s">
        <v>2771</v>
      </c>
      <c r="H4556" s="8" t="s">
        <v>5162</v>
      </c>
      <c r="I4556" s="3">
        <v>30</v>
      </c>
      <c r="J4556" s="3" t="s">
        <v>6451</v>
      </c>
      <c r="K4556" s="17" t="str">
        <f>HYPERLINK("http://ictvonline.org/taxonomyHistory.asp?taxnode_id=20175065","ICTVonline=20175065")</f>
        <v>ICTVonline=20175065</v>
      </c>
      <c r="L4556" s="3">
        <v>4555</v>
      </c>
    </row>
    <row r="4557" spans="1:12" x14ac:dyDescent="0.15">
      <c r="A4557" s="1" t="s">
        <v>908</v>
      </c>
      <c r="B4557" s="1" t="s">
        <v>2627</v>
      </c>
      <c r="D4557" s="1" t="s">
        <v>2628</v>
      </c>
      <c r="E4557" s="1" t="s">
        <v>2629</v>
      </c>
      <c r="F4557" s="3">
        <v>1</v>
      </c>
      <c r="G4557" s="8" t="s">
        <v>3976</v>
      </c>
      <c r="H4557" s="8" t="s">
        <v>5159</v>
      </c>
      <c r="I4557" s="3">
        <v>28</v>
      </c>
      <c r="J4557" s="3" t="s">
        <v>6453</v>
      </c>
      <c r="K4557" s="17" t="str">
        <f>HYPERLINK("http://ictvonline.org/taxonomyHistory.asp?taxnode_id=20175069","ICTVonline=20175069")</f>
        <v>ICTVonline=20175069</v>
      </c>
      <c r="L4557" s="3">
        <v>4556</v>
      </c>
    </row>
    <row r="4558" spans="1:12" x14ac:dyDescent="0.15">
      <c r="A4558" s="1" t="s">
        <v>908</v>
      </c>
      <c r="B4558" s="1" t="s">
        <v>1602</v>
      </c>
      <c r="D4558" s="1" t="s">
        <v>6454</v>
      </c>
      <c r="E4558" s="1" t="s">
        <v>6455</v>
      </c>
      <c r="F4558" s="3">
        <v>0</v>
      </c>
      <c r="G4558" s="8" t="s">
        <v>2771</v>
      </c>
      <c r="H4558" s="8" t="s">
        <v>5159</v>
      </c>
      <c r="I4558" s="3">
        <v>32</v>
      </c>
      <c r="J4558" s="3" t="s">
        <v>6456</v>
      </c>
      <c r="K4558" s="17" t="str">
        <f>HYPERLINK("http://ictvonline.org/taxonomyHistory.asp?taxnode_id=20175994","ICTVonline=20175994")</f>
        <v>ICTVonline=20175994</v>
      </c>
      <c r="L4558" s="3">
        <v>4557</v>
      </c>
    </row>
    <row r="4559" spans="1:12" x14ac:dyDescent="0.15">
      <c r="A4559" s="1" t="s">
        <v>908</v>
      </c>
      <c r="B4559" s="1" t="s">
        <v>1602</v>
      </c>
      <c r="D4559" s="1" t="s">
        <v>6454</v>
      </c>
      <c r="E4559" s="1" t="s">
        <v>6457</v>
      </c>
      <c r="F4559" s="3">
        <v>1</v>
      </c>
      <c r="G4559" s="8" t="s">
        <v>2771</v>
      </c>
      <c r="H4559" s="8" t="s">
        <v>5160</v>
      </c>
      <c r="I4559" s="3">
        <v>32</v>
      </c>
      <c r="J4559" s="3" t="s">
        <v>6456</v>
      </c>
      <c r="K4559" s="17" t="str">
        <f>HYPERLINK("http://ictvonline.org/taxonomyHistory.asp?taxnode_id=20175076","ICTVonline=20175076")</f>
        <v>ICTVonline=20175076</v>
      </c>
      <c r="L4559" s="3">
        <v>4558</v>
      </c>
    </row>
    <row r="4560" spans="1:12" x14ac:dyDescent="0.15">
      <c r="A4560" s="1" t="s">
        <v>908</v>
      </c>
      <c r="B4560" s="1" t="s">
        <v>1602</v>
      </c>
      <c r="D4560" s="1" t="s">
        <v>6458</v>
      </c>
      <c r="E4560" s="1" t="s">
        <v>4160</v>
      </c>
      <c r="F4560" s="3">
        <v>0</v>
      </c>
      <c r="G4560" s="8" t="s">
        <v>2771</v>
      </c>
      <c r="H4560" s="8" t="s">
        <v>5161</v>
      </c>
      <c r="I4560" s="3">
        <v>32</v>
      </c>
      <c r="J4560" s="3" t="s">
        <v>6456</v>
      </c>
      <c r="K4560" s="17" t="str">
        <f>HYPERLINK("http://ictvonline.org/taxonomyHistory.asp?taxnode_id=20175074","ICTVonline=20175074")</f>
        <v>ICTVonline=20175074</v>
      </c>
      <c r="L4560" s="3">
        <v>4559</v>
      </c>
    </row>
    <row r="4561" spans="1:12" x14ac:dyDescent="0.15">
      <c r="A4561" s="1" t="s">
        <v>908</v>
      </c>
      <c r="B4561" s="1" t="s">
        <v>1602</v>
      </c>
      <c r="D4561" s="1" t="s">
        <v>6458</v>
      </c>
      <c r="E4561" s="1" t="s">
        <v>4161</v>
      </c>
      <c r="F4561" s="3">
        <v>1</v>
      </c>
      <c r="G4561" s="8" t="s">
        <v>2771</v>
      </c>
      <c r="H4561" s="8" t="s">
        <v>5161</v>
      </c>
      <c r="I4561" s="3">
        <v>32</v>
      </c>
      <c r="J4561" s="3" t="s">
        <v>6456</v>
      </c>
      <c r="K4561" s="17" t="str">
        <f>HYPERLINK("http://ictvonline.org/taxonomyHistory.asp?taxnode_id=20175075","ICTVonline=20175075")</f>
        <v>ICTVonline=20175075</v>
      </c>
      <c r="L4561" s="3">
        <v>4560</v>
      </c>
    </row>
    <row r="4562" spans="1:12" x14ac:dyDescent="0.15">
      <c r="A4562" s="1" t="s">
        <v>908</v>
      </c>
      <c r="B4562" s="1" t="s">
        <v>1602</v>
      </c>
      <c r="D4562" s="1" t="s">
        <v>6458</v>
      </c>
      <c r="E4562" s="1" t="s">
        <v>6459</v>
      </c>
      <c r="F4562" s="3">
        <v>0</v>
      </c>
      <c r="G4562" s="8" t="s">
        <v>2771</v>
      </c>
      <c r="H4562" s="8" t="s">
        <v>5159</v>
      </c>
      <c r="I4562" s="3">
        <v>32</v>
      </c>
      <c r="J4562" s="3" t="s">
        <v>6456</v>
      </c>
      <c r="K4562" s="17" t="str">
        <f>HYPERLINK("http://ictvonline.org/taxonomyHistory.asp?taxnode_id=20175995","ICTVonline=20175995")</f>
        <v>ICTVonline=20175995</v>
      </c>
      <c r="L4562" s="3">
        <v>4561</v>
      </c>
    </row>
    <row r="4563" spans="1:12" x14ac:dyDescent="0.15">
      <c r="A4563" s="1" t="s">
        <v>908</v>
      </c>
      <c r="B4563" s="1" t="s">
        <v>1602</v>
      </c>
      <c r="D4563" s="1" t="s">
        <v>6458</v>
      </c>
      <c r="E4563" s="1" t="s">
        <v>6460</v>
      </c>
      <c r="F4563" s="3">
        <v>0</v>
      </c>
      <c r="G4563" s="8" t="s">
        <v>2771</v>
      </c>
      <c r="H4563" s="8" t="s">
        <v>5159</v>
      </c>
      <c r="I4563" s="3">
        <v>32</v>
      </c>
      <c r="J4563" s="3" t="s">
        <v>6456</v>
      </c>
      <c r="K4563" s="17" t="str">
        <f>HYPERLINK("http://ictvonline.org/taxonomyHistory.asp?taxnode_id=20175996","ICTVonline=20175996")</f>
        <v>ICTVonline=20175996</v>
      </c>
      <c r="L4563" s="3">
        <v>4562</v>
      </c>
    </row>
    <row r="4564" spans="1:12" x14ac:dyDescent="0.15">
      <c r="A4564" s="1" t="s">
        <v>908</v>
      </c>
      <c r="B4564" s="1" t="s">
        <v>849</v>
      </c>
      <c r="D4564" s="1" t="s">
        <v>850</v>
      </c>
      <c r="E4564" s="1" t="s">
        <v>851</v>
      </c>
      <c r="F4564" s="3">
        <v>0</v>
      </c>
      <c r="G4564" s="8" t="s">
        <v>2773</v>
      </c>
      <c r="H4564" s="8" t="s">
        <v>5161</v>
      </c>
      <c r="I4564" s="3">
        <v>2</v>
      </c>
      <c r="J4564" s="3" t="s">
        <v>6461</v>
      </c>
      <c r="K4564" s="17" t="str">
        <f>HYPERLINK("http://ictvonline.org/taxonomyHistory.asp?taxnode_id=20175083","ICTVonline=20175083")</f>
        <v>ICTVonline=20175083</v>
      </c>
      <c r="L4564" s="3">
        <v>4563</v>
      </c>
    </row>
    <row r="4565" spans="1:12" x14ac:dyDescent="0.15">
      <c r="A4565" s="1" t="s">
        <v>908</v>
      </c>
      <c r="B4565" s="1" t="s">
        <v>849</v>
      </c>
      <c r="D4565" s="1" t="s">
        <v>850</v>
      </c>
      <c r="E4565" s="1" t="s">
        <v>852</v>
      </c>
      <c r="F4565" s="3">
        <v>0</v>
      </c>
      <c r="G4565" s="8" t="s">
        <v>2773</v>
      </c>
      <c r="H4565" s="8" t="s">
        <v>5161</v>
      </c>
      <c r="I4565" s="3">
        <v>12</v>
      </c>
      <c r="J4565" s="3" t="s">
        <v>6080</v>
      </c>
      <c r="K4565" s="17" t="str">
        <f>HYPERLINK("http://ictvonline.org/taxonomyHistory.asp?taxnode_id=20175084","ICTVonline=20175084")</f>
        <v>ICTVonline=20175084</v>
      </c>
      <c r="L4565" s="3">
        <v>4564</v>
      </c>
    </row>
    <row r="4566" spans="1:12" x14ac:dyDescent="0.15">
      <c r="A4566" s="1" t="s">
        <v>908</v>
      </c>
      <c r="B4566" s="1" t="s">
        <v>849</v>
      </c>
      <c r="D4566" s="1" t="s">
        <v>850</v>
      </c>
      <c r="E4566" s="1" t="s">
        <v>853</v>
      </c>
      <c r="F4566" s="3">
        <v>0</v>
      </c>
      <c r="G4566" s="8" t="s">
        <v>2773</v>
      </c>
      <c r="H4566" s="8" t="s">
        <v>5159</v>
      </c>
      <c r="I4566" s="3">
        <v>4</v>
      </c>
      <c r="J4566" s="3" t="s">
        <v>6462</v>
      </c>
      <c r="K4566" s="17" t="str">
        <f>HYPERLINK("http://ictvonline.org/taxonomyHistory.asp?taxnode_id=20175085","ICTVonline=20175085")</f>
        <v>ICTVonline=20175085</v>
      </c>
      <c r="L4566" s="3">
        <v>4565</v>
      </c>
    </row>
    <row r="4567" spans="1:12" x14ac:dyDescent="0.15">
      <c r="A4567" s="1" t="s">
        <v>908</v>
      </c>
      <c r="B4567" s="1" t="s">
        <v>849</v>
      </c>
      <c r="D4567" s="1" t="s">
        <v>850</v>
      </c>
      <c r="E4567" s="1" t="s">
        <v>854</v>
      </c>
      <c r="F4567" s="3">
        <v>0</v>
      </c>
      <c r="G4567" s="8" t="s">
        <v>2773</v>
      </c>
      <c r="H4567" s="8" t="s">
        <v>5159</v>
      </c>
      <c r="I4567" s="3">
        <v>18</v>
      </c>
      <c r="J4567" s="3" t="s">
        <v>5597</v>
      </c>
      <c r="K4567" s="17" t="str">
        <f>HYPERLINK("http://ictvonline.org/taxonomyHistory.asp?taxnode_id=20175086","ICTVonline=20175086")</f>
        <v>ICTVonline=20175086</v>
      </c>
      <c r="L4567" s="3">
        <v>4566</v>
      </c>
    </row>
    <row r="4568" spans="1:12" x14ac:dyDescent="0.15">
      <c r="A4568" s="1" t="s">
        <v>908</v>
      </c>
      <c r="B4568" s="1" t="s">
        <v>849</v>
      </c>
      <c r="D4568" s="1" t="s">
        <v>850</v>
      </c>
      <c r="E4568" s="1" t="s">
        <v>855</v>
      </c>
      <c r="F4568" s="3">
        <v>0</v>
      </c>
      <c r="G4568" s="8" t="s">
        <v>2773</v>
      </c>
      <c r="H4568" s="8" t="s">
        <v>5161</v>
      </c>
      <c r="I4568" s="3">
        <v>2</v>
      </c>
      <c r="J4568" s="3" t="s">
        <v>6461</v>
      </c>
      <c r="K4568" s="17" t="str">
        <f>HYPERLINK("http://ictvonline.org/taxonomyHistory.asp?taxnode_id=20175087","ICTVonline=20175087")</f>
        <v>ICTVonline=20175087</v>
      </c>
      <c r="L4568" s="3">
        <v>4567</v>
      </c>
    </row>
    <row r="4569" spans="1:12" x14ac:dyDescent="0.15">
      <c r="A4569" s="1" t="s">
        <v>908</v>
      </c>
      <c r="B4569" s="1" t="s">
        <v>849</v>
      </c>
      <c r="D4569" s="1" t="s">
        <v>850</v>
      </c>
      <c r="E4569" s="1" t="s">
        <v>856</v>
      </c>
      <c r="F4569" s="3">
        <v>0</v>
      </c>
      <c r="G4569" s="8" t="s">
        <v>2773</v>
      </c>
      <c r="H4569" s="8" t="s">
        <v>5161</v>
      </c>
      <c r="I4569" s="3">
        <v>2</v>
      </c>
      <c r="J4569" s="3" t="s">
        <v>6461</v>
      </c>
      <c r="K4569" s="17" t="str">
        <f>HYPERLINK("http://ictvonline.org/taxonomyHistory.asp?taxnode_id=20175088","ICTVonline=20175088")</f>
        <v>ICTVonline=20175088</v>
      </c>
      <c r="L4569" s="3">
        <v>4568</v>
      </c>
    </row>
    <row r="4570" spans="1:12" x14ac:dyDescent="0.15">
      <c r="A4570" s="1" t="s">
        <v>908</v>
      </c>
      <c r="B4570" s="1" t="s">
        <v>849</v>
      </c>
      <c r="D4570" s="1" t="s">
        <v>850</v>
      </c>
      <c r="E4570" s="1" t="s">
        <v>2630</v>
      </c>
      <c r="F4570" s="3">
        <v>0</v>
      </c>
      <c r="G4570" s="8" t="s">
        <v>2773</v>
      </c>
      <c r="H4570" s="8" t="s">
        <v>5159</v>
      </c>
      <c r="I4570" s="3">
        <v>28</v>
      </c>
      <c r="J4570" s="3" t="s">
        <v>6463</v>
      </c>
      <c r="K4570" s="17" t="str">
        <f>HYPERLINK("http://ictvonline.org/taxonomyHistory.asp?taxnode_id=20175089","ICTVonline=20175089")</f>
        <v>ICTVonline=20175089</v>
      </c>
      <c r="L4570" s="3">
        <v>4569</v>
      </c>
    </row>
    <row r="4571" spans="1:12" x14ac:dyDescent="0.15">
      <c r="A4571" s="1" t="s">
        <v>908</v>
      </c>
      <c r="B4571" s="1" t="s">
        <v>849</v>
      </c>
      <c r="D4571" s="1" t="s">
        <v>850</v>
      </c>
      <c r="E4571" s="1" t="s">
        <v>857</v>
      </c>
      <c r="F4571" s="3">
        <v>0</v>
      </c>
      <c r="G4571" s="8" t="s">
        <v>2773</v>
      </c>
      <c r="H4571" s="8" t="s">
        <v>5159</v>
      </c>
      <c r="I4571" s="3">
        <v>4</v>
      </c>
      <c r="J4571" s="3" t="s">
        <v>6462</v>
      </c>
      <c r="K4571" s="17" t="str">
        <f>HYPERLINK("http://ictvonline.org/taxonomyHistory.asp?taxnode_id=20175090","ICTVonline=20175090")</f>
        <v>ICTVonline=20175090</v>
      </c>
      <c r="L4571" s="3">
        <v>4570</v>
      </c>
    </row>
    <row r="4572" spans="1:12" x14ac:dyDescent="0.15">
      <c r="A4572" s="1" t="s">
        <v>908</v>
      </c>
      <c r="B4572" s="1" t="s">
        <v>849</v>
      </c>
      <c r="D4572" s="1" t="s">
        <v>850</v>
      </c>
      <c r="E4572" s="1" t="s">
        <v>858</v>
      </c>
      <c r="F4572" s="3">
        <v>0</v>
      </c>
      <c r="G4572" s="8" t="s">
        <v>2773</v>
      </c>
      <c r="H4572" s="8" t="s">
        <v>5168</v>
      </c>
      <c r="I4572" s="3">
        <v>18</v>
      </c>
      <c r="J4572" s="3" t="s">
        <v>5597</v>
      </c>
      <c r="K4572" s="17" t="str">
        <f>HYPERLINK("http://ictvonline.org/taxonomyHistory.asp?taxnode_id=20175091","ICTVonline=20175091")</f>
        <v>ICTVonline=20175091</v>
      </c>
      <c r="L4572" s="3">
        <v>4571</v>
      </c>
    </row>
    <row r="4573" spans="1:12" x14ac:dyDescent="0.15">
      <c r="A4573" s="1" t="s">
        <v>908</v>
      </c>
      <c r="B4573" s="1" t="s">
        <v>849</v>
      </c>
      <c r="D4573" s="1" t="s">
        <v>850</v>
      </c>
      <c r="E4573" s="1" t="s">
        <v>859</v>
      </c>
      <c r="F4573" s="3">
        <v>0</v>
      </c>
      <c r="G4573" s="8" t="s">
        <v>2773</v>
      </c>
      <c r="H4573" s="8" t="s">
        <v>5161</v>
      </c>
      <c r="I4573" s="3">
        <v>2</v>
      </c>
      <c r="J4573" s="3" t="s">
        <v>6461</v>
      </c>
      <c r="K4573" s="17" t="str">
        <f>HYPERLINK("http://ictvonline.org/taxonomyHistory.asp?taxnode_id=20175092","ICTVonline=20175092")</f>
        <v>ICTVonline=20175092</v>
      </c>
      <c r="L4573" s="3">
        <v>4572</v>
      </c>
    </row>
    <row r="4574" spans="1:12" x14ac:dyDescent="0.15">
      <c r="A4574" s="1" t="s">
        <v>908</v>
      </c>
      <c r="B4574" s="1" t="s">
        <v>849</v>
      </c>
      <c r="D4574" s="1" t="s">
        <v>850</v>
      </c>
      <c r="E4574" s="1" t="s">
        <v>860</v>
      </c>
      <c r="F4574" s="3">
        <v>0</v>
      </c>
      <c r="G4574" s="8" t="s">
        <v>2773</v>
      </c>
      <c r="H4574" s="8" t="s">
        <v>5159</v>
      </c>
      <c r="I4574" s="3">
        <v>12</v>
      </c>
      <c r="J4574" s="3" t="s">
        <v>6080</v>
      </c>
      <c r="K4574" s="17" t="str">
        <f>HYPERLINK("http://ictvonline.org/taxonomyHistory.asp?taxnode_id=20175093","ICTVonline=20175093")</f>
        <v>ICTVonline=20175093</v>
      </c>
      <c r="L4574" s="3">
        <v>4573</v>
      </c>
    </row>
    <row r="4575" spans="1:12" x14ac:dyDescent="0.15">
      <c r="A4575" s="1" t="s">
        <v>908</v>
      </c>
      <c r="B4575" s="1" t="s">
        <v>849</v>
      </c>
      <c r="D4575" s="1" t="s">
        <v>850</v>
      </c>
      <c r="E4575" s="1" t="s">
        <v>2294</v>
      </c>
      <c r="F4575" s="3">
        <v>0</v>
      </c>
      <c r="G4575" s="8" t="s">
        <v>2773</v>
      </c>
      <c r="H4575" s="8" t="s">
        <v>5159</v>
      </c>
      <c r="I4575" s="3">
        <v>27</v>
      </c>
      <c r="J4575" s="3" t="s">
        <v>6464</v>
      </c>
      <c r="K4575" s="17" t="str">
        <f>HYPERLINK("http://ictvonline.org/taxonomyHistory.asp?taxnode_id=20175094","ICTVonline=20175094")</f>
        <v>ICTVonline=20175094</v>
      </c>
      <c r="L4575" s="3">
        <v>4574</v>
      </c>
    </row>
    <row r="4576" spans="1:12" x14ac:dyDescent="0.15">
      <c r="A4576" s="1" t="s">
        <v>908</v>
      </c>
      <c r="B4576" s="1" t="s">
        <v>849</v>
      </c>
      <c r="D4576" s="1" t="s">
        <v>850</v>
      </c>
      <c r="E4576" s="1" t="s">
        <v>861</v>
      </c>
      <c r="F4576" s="3">
        <v>0</v>
      </c>
      <c r="G4576" s="8" t="s">
        <v>2773</v>
      </c>
      <c r="H4576" s="8" t="s">
        <v>5161</v>
      </c>
      <c r="I4576" s="3">
        <v>2</v>
      </c>
      <c r="J4576" s="3" t="s">
        <v>6461</v>
      </c>
      <c r="K4576" s="17" t="str">
        <f>HYPERLINK("http://ictvonline.org/taxonomyHistory.asp?taxnode_id=20175095","ICTVonline=20175095")</f>
        <v>ICTVonline=20175095</v>
      </c>
      <c r="L4576" s="3">
        <v>4575</v>
      </c>
    </row>
    <row r="4577" spans="1:12" x14ac:dyDescent="0.15">
      <c r="A4577" s="1" t="s">
        <v>908</v>
      </c>
      <c r="B4577" s="1" t="s">
        <v>849</v>
      </c>
      <c r="D4577" s="1" t="s">
        <v>850</v>
      </c>
      <c r="E4577" s="1" t="s">
        <v>862</v>
      </c>
      <c r="F4577" s="3">
        <v>0</v>
      </c>
      <c r="G4577" s="8" t="s">
        <v>2773</v>
      </c>
      <c r="H4577" s="8" t="s">
        <v>5162</v>
      </c>
      <c r="I4577" s="3">
        <v>6</v>
      </c>
      <c r="J4577" s="3" t="s">
        <v>6383</v>
      </c>
      <c r="K4577" s="17" t="str">
        <f>HYPERLINK("http://ictvonline.org/taxonomyHistory.asp?taxnode_id=20175096","ICTVonline=20175096")</f>
        <v>ICTVonline=20175096</v>
      </c>
      <c r="L4577" s="3">
        <v>4576</v>
      </c>
    </row>
    <row r="4578" spans="1:12" x14ac:dyDescent="0.15">
      <c r="A4578" s="1" t="s">
        <v>908</v>
      </c>
      <c r="B4578" s="1" t="s">
        <v>849</v>
      </c>
      <c r="D4578" s="1" t="s">
        <v>850</v>
      </c>
      <c r="E4578" s="1" t="s">
        <v>2778</v>
      </c>
      <c r="F4578" s="3">
        <v>0</v>
      </c>
      <c r="G4578" s="8" t="s">
        <v>2773</v>
      </c>
      <c r="H4578" s="8" t="s">
        <v>5159</v>
      </c>
      <c r="I4578" s="3">
        <v>23</v>
      </c>
      <c r="J4578" s="3" t="s">
        <v>6020</v>
      </c>
      <c r="K4578" s="17" t="str">
        <f>HYPERLINK("http://ictvonline.org/taxonomyHistory.asp?taxnode_id=20175097","ICTVonline=20175097")</f>
        <v>ICTVonline=20175097</v>
      </c>
      <c r="L4578" s="3">
        <v>4577</v>
      </c>
    </row>
    <row r="4579" spans="1:12" x14ac:dyDescent="0.15">
      <c r="A4579" s="1" t="s">
        <v>908</v>
      </c>
      <c r="B4579" s="1" t="s">
        <v>849</v>
      </c>
      <c r="D4579" s="1" t="s">
        <v>850</v>
      </c>
      <c r="E4579" s="1" t="s">
        <v>863</v>
      </c>
      <c r="F4579" s="3">
        <v>0</v>
      </c>
      <c r="G4579" s="8" t="s">
        <v>2773</v>
      </c>
      <c r="H4579" s="8" t="s">
        <v>5161</v>
      </c>
      <c r="I4579" s="3">
        <v>2</v>
      </c>
      <c r="J4579" s="3" t="s">
        <v>6461</v>
      </c>
      <c r="K4579" s="17" t="str">
        <f>HYPERLINK("http://ictvonline.org/taxonomyHistory.asp?taxnode_id=20175098","ICTVonline=20175098")</f>
        <v>ICTVonline=20175098</v>
      </c>
      <c r="L4579" s="3">
        <v>4578</v>
      </c>
    </row>
    <row r="4580" spans="1:12" x14ac:dyDescent="0.15">
      <c r="A4580" s="1" t="s">
        <v>908</v>
      </c>
      <c r="B4580" s="1" t="s">
        <v>849</v>
      </c>
      <c r="D4580" s="1" t="s">
        <v>850</v>
      </c>
      <c r="E4580" s="1" t="s">
        <v>864</v>
      </c>
      <c r="F4580" s="3">
        <v>0</v>
      </c>
      <c r="G4580" s="8" t="s">
        <v>2773</v>
      </c>
      <c r="H4580" s="8" t="s">
        <v>5159</v>
      </c>
      <c r="I4580" s="3">
        <v>4</v>
      </c>
      <c r="J4580" s="3" t="s">
        <v>6462</v>
      </c>
      <c r="K4580" s="17" t="str">
        <f>HYPERLINK("http://ictvonline.org/taxonomyHistory.asp?taxnode_id=20175099","ICTVonline=20175099")</f>
        <v>ICTVonline=20175099</v>
      </c>
      <c r="L4580" s="3">
        <v>4579</v>
      </c>
    </row>
    <row r="4581" spans="1:12" x14ac:dyDescent="0.15">
      <c r="A4581" s="1" t="s">
        <v>908</v>
      </c>
      <c r="B4581" s="1" t="s">
        <v>849</v>
      </c>
      <c r="D4581" s="1" t="s">
        <v>850</v>
      </c>
      <c r="E4581" s="1" t="s">
        <v>6465</v>
      </c>
      <c r="F4581" s="3">
        <v>0</v>
      </c>
      <c r="G4581" s="8" t="s">
        <v>2773</v>
      </c>
      <c r="H4581" s="8" t="s">
        <v>5162</v>
      </c>
      <c r="I4581" s="3">
        <v>32</v>
      </c>
      <c r="J4581" s="3" t="s">
        <v>5564</v>
      </c>
      <c r="K4581" s="17" t="str">
        <f>HYPERLINK("http://ictvonline.org/taxonomyHistory.asp?taxnode_id=20175100","ICTVonline=20175100")</f>
        <v>ICTVonline=20175100</v>
      </c>
      <c r="L4581" s="3">
        <v>4580</v>
      </c>
    </row>
    <row r="4582" spans="1:12" x14ac:dyDescent="0.15">
      <c r="A4582" s="1" t="s">
        <v>908</v>
      </c>
      <c r="B4582" s="1" t="s">
        <v>849</v>
      </c>
      <c r="D4582" s="1" t="s">
        <v>850</v>
      </c>
      <c r="E4582" s="1" t="s">
        <v>865</v>
      </c>
      <c r="F4582" s="3">
        <v>0</v>
      </c>
      <c r="G4582" s="8" t="s">
        <v>2773</v>
      </c>
      <c r="H4582" s="8" t="s">
        <v>5161</v>
      </c>
      <c r="I4582" s="3">
        <v>2</v>
      </c>
      <c r="J4582" s="3" t="s">
        <v>6461</v>
      </c>
      <c r="K4582" s="17" t="str">
        <f>HYPERLINK("http://ictvonline.org/taxonomyHistory.asp?taxnode_id=20175101","ICTVonline=20175101")</f>
        <v>ICTVonline=20175101</v>
      </c>
      <c r="L4582" s="3">
        <v>4581</v>
      </c>
    </row>
    <row r="4583" spans="1:12" x14ac:dyDescent="0.15">
      <c r="A4583" s="1" t="s">
        <v>908</v>
      </c>
      <c r="B4583" s="1" t="s">
        <v>849</v>
      </c>
      <c r="D4583" s="1" t="s">
        <v>850</v>
      </c>
      <c r="E4583" s="1" t="s">
        <v>1326</v>
      </c>
      <c r="F4583" s="3">
        <v>0</v>
      </c>
      <c r="G4583" s="8" t="s">
        <v>2773</v>
      </c>
      <c r="H4583" s="8" t="s">
        <v>5162</v>
      </c>
      <c r="I4583" s="3">
        <v>23</v>
      </c>
      <c r="J4583" s="3" t="s">
        <v>6020</v>
      </c>
      <c r="K4583" s="17" t="str">
        <f>HYPERLINK("http://ictvonline.org/taxonomyHistory.asp?taxnode_id=20175102","ICTVonline=20175102")</f>
        <v>ICTVonline=20175102</v>
      </c>
      <c r="L4583" s="3">
        <v>4582</v>
      </c>
    </row>
    <row r="4584" spans="1:12" x14ac:dyDescent="0.15">
      <c r="A4584" s="1" t="s">
        <v>908</v>
      </c>
      <c r="B4584" s="1" t="s">
        <v>849</v>
      </c>
      <c r="D4584" s="1" t="s">
        <v>850</v>
      </c>
      <c r="E4584" s="1" t="s">
        <v>1327</v>
      </c>
      <c r="F4584" s="3">
        <v>0</v>
      </c>
      <c r="G4584" s="8" t="s">
        <v>2773</v>
      </c>
      <c r="H4584" s="8" t="s">
        <v>5168</v>
      </c>
      <c r="I4584" s="3">
        <v>18</v>
      </c>
      <c r="J4584" s="3" t="s">
        <v>5597</v>
      </c>
      <c r="K4584" s="17" t="str">
        <f>HYPERLINK("http://ictvonline.org/taxonomyHistory.asp?taxnode_id=20175103","ICTVonline=20175103")</f>
        <v>ICTVonline=20175103</v>
      </c>
      <c r="L4584" s="3">
        <v>4583</v>
      </c>
    </row>
    <row r="4585" spans="1:12" x14ac:dyDescent="0.15">
      <c r="A4585" s="1" t="s">
        <v>908</v>
      </c>
      <c r="B4585" s="1" t="s">
        <v>849</v>
      </c>
      <c r="D4585" s="1" t="s">
        <v>850</v>
      </c>
      <c r="E4585" s="1" t="s">
        <v>1328</v>
      </c>
      <c r="F4585" s="3">
        <v>0</v>
      </c>
      <c r="G4585" s="8" t="s">
        <v>2773</v>
      </c>
      <c r="H4585" s="8" t="s">
        <v>5159</v>
      </c>
      <c r="I4585" s="3">
        <v>20</v>
      </c>
      <c r="J4585" s="3" t="s">
        <v>5628</v>
      </c>
      <c r="K4585" s="17" t="str">
        <f>HYPERLINK("http://ictvonline.org/taxonomyHistory.asp?taxnode_id=20175104","ICTVonline=20175104")</f>
        <v>ICTVonline=20175104</v>
      </c>
      <c r="L4585" s="3">
        <v>4584</v>
      </c>
    </row>
    <row r="4586" spans="1:12" x14ac:dyDescent="0.15">
      <c r="A4586" s="1" t="s">
        <v>908</v>
      </c>
      <c r="B4586" s="1" t="s">
        <v>849</v>
      </c>
      <c r="D4586" s="1" t="s">
        <v>850</v>
      </c>
      <c r="E4586" s="1" t="s">
        <v>1329</v>
      </c>
      <c r="F4586" s="3">
        <v>0</v>
      </c>
      <c r="G4586" s="8" t="s">
        <v>2773</v>
      </c>
      <c r="H4586" s="8" t="s">
        <v>5161</v>
      </c>
      <c r="I4586" s="3">
        <v>2</v>
      </c>
      <c r="J4586" s="3" t="s">
        <v>6461</v>
      </c>
      <c r="K4586" s="17" t="str">
        <f>HYPERLINK("http://ictvonline.org/taxonomyHistory.asp?taxnode_id=20175105","ICTVonline=20175105")</f>
        <v>ICTVonline=20175105</v>
      </c>
      <c r="L4586" s="3">
        <v>4585</v>
      </c>
    </row>
    <row r="4587" spans="1:12" x14ac:dyDescent="0.15">
      <c r="A4587" s="1" t="s">
        <v>908</v>
      </c>
      <c r="B4587" s="1" t="s">
        <v>849</v>
      </c>
      <c r="D4587" s="1" t="s">
        <v>850</v>
      </c>
      <c r="E4587" s="1" t="s">
        <v>1330</v>
      </c>
      <c r="F4587" s="3">
        <v>1</v>
      </c>
      <c r="G4587" s="8" t="s">
        <v>2773</v>
      </c>
      <c r="H4587" s="8" t="s">
        <v>5172</v>
      </c>
      <c r="I4587" s="3">
        <v>18</v>
      </c>
      <c r="J4587" s="3" t="s">
        <v>5597</v>
      </c>
      <c r="K4587" s="17" t="str">
        <f>HYPERLINK("http://ictvonline.org/taxonomyHistory.asp?taxnode_id=20175106","ICTVonline=20175106")</f>
        <v>ICTVonline=20175106</v>
      </c>
      <c r="L4587" s="3">
        <v>4586</v>
      </c>
    </row>
    <row r="4588" spans="1:12" x14ac:dyDescent="0.15">
      <c r="A4588" s="1" t="s">
        <v>908</v>
      </c>
      <c r="B4588" s="1" t="s">
        <v>849</v>
      </c>
      <c r="D4588" s="1" t="s">
        <v>850</v>
      </c>
      <c r="E4588" s="1" t="s">
        <v>1331</v>
      </c>
      <c r="F4588" s="3">
        <v>0</v>
      </c>
      <c r="G4588" s="8" t="s">
        <v>2773</v>
      </c>
      <c r="H4588" s="8" t="s">
        <v>5159</v>
      </c>
      <c r="I4588" s="3">
        <v>23</v>
      </c>
      <c r="J4588" s="3" t="s">
        <v>6020</v>
      </c>
      <c r="K4588" s="17" t="str">
        <f>HYPERLINK("http://ictvonline.org/taxonomyHistory.asp?taxnode_id=20175107","ICTVonline=20175107")</f>
        <v>ICTVonline=20175107</v>
      </c>
      <c r="L4588" s="3">
        <v>4587</v>
      </c>
    </row>
    <row r="4589" spans="1:12" x14ac:dyDescent="0.15">
      <c r="A4589" s="1" t="s">
        <v>908</v>
      </c>
      <c r="B4589" s="1" t="s">
        <v>849</v>
      </c>
      <c r="D4589" s="1" t="s">
        <v>850</v>
      </c>
      <c r="E4589" s="1" t="s">
        <v>777</v>
      </c>
      <c r="F4589" s="3">
        <v>0</v>
      </c>
      <c r="G4589" s="8" t="s">
        <v>2773</v>
      </c>
      <c r="H4589" s="8" t="s">
        <v>5159</v>
      </c>
      <c r="I4589" s="3">
        <v>23</v>
      </c>
      <c r="J4589" s="3" t="s">
        <v>6020</v>
      </c>
      <c r="K4589" s="17" t="str">
        <f>HYPERLINK("http://ictvonline.org/taxonomyHistory.asp?taxnode_id=20175108","ICTVonline=20175108")</f>
        <v>ICTVonline=20175108</v>
      </c>
      <c r="L4589" s="3">
        <v>4588</v>
      </c>
    </row>
    <row r="4590" spans="1:12" x14ac:dyDescent="0.15">
      <c r="A4590" s="1" t="s">
        <v>908</v>
      </c>
      <c r="B4590" s="1" t="s">
        <v>849</v>
      </c>
      <c r="D4590" s="1" t="s">
        <v>850</v>
      </c>
      <c r="E4590" s="1" t="s">
        <v>778</v>
      </c>
      <c r="F4590" s="3">
        <v>0</v>
      </c>
      <c r="G4590" s="8" t="s">
        <v>2773</v>
      </c>
      <c r="H4590" s="8" t="s">
        <v>5159</v>
      </c>
      <c r="I4590" s="3">
        <v>20</v>
      </c>
      <c r="J4590" s="3" t="s">
        <v>5628</v>
      </c>
      <c r="K4590" s="17" t="str">
        <f>HYPERLINK("http://ictvonline.org/taxonomyHistory.asp?taxnode_id=20175109","ICTVonline=20175109")</f>
        <v>ICTVonline=20175109</v>
      </c>
      <c r="L4590" s="3">
        <v>4589</v>
      </c>
    </row>
    <row r="4591" spans="1:12" x14ac:dyDescent="0.15">
      <c r="A4591" s="1" t="s">
        <v>908</v>
      </c>
      <c r="B4591" s="1" t="s">
        <v>849</v>
      </c>
      <c r="D4591" s="1" t="s">
        <v>850</v>
      </c>
      <c r="E4591" s="1" t="s">
        <v>779</v>
      </c>
      <c r="F4591" s="3">
        <v>0</v>
      </c>
      <c r="G4591" s="8" t="s">
        <v>2773</v>
      </c>
      <c r="H4591" s="8" t="s">
        <v>5161</v>
      </c>
      <c r="I4591" s="3">
        <v>2</v>
      </c>
      <c r="J4591" s="3" t="s">
        <v>6461</v>
      </c>
      <c r="K4591" s="17" t="str">
        <f>HYPERLINK("http://ictvonline.org/taxonomyHistory.asp?taxnode_id=20175110","ICTVonline=20175110")</f>
        <v>ICTVonline=20175110</v>
      </c>
      <c r="L4591" s="3">
        <v>4590</v>
      </c>
    </row>
    <row r="4592" spans="1:12" x14ac:dyDescent="0.15">
      <c r="A4592" s="1" t="s">
        <v>908</v>
      </c>
      <c r="B4592" s="1" t="s">
        <v>849</v>
      </c>
      <c r="D4592" s="1" t="s">
        <v>850</v>
      </c>
      <c r="E4592" s="1" t="s">
        <v>1825</v>
      </c>
      <c r="F4592" s="3">
        <v>0</v>
      </c>
      <c r="G4592" s="8" t="s">
        <v>2773</v>
      </c>
      <c r="H4592" s="8" t="s">
        <v>5161</v>
      </c>
      <c r="I4592" s="3">
        <v>2</v>
      </c>
      <c r="J4592" s="3" t="s">
        <v>6461</v>
      </c>
      <c r="K4592" s="17" t="str">
        <f>HYPERLINK("http://ictvonline.org/taxonomyHistory.asp?taxnode_id=20175111","ICTVonline=20175111")</f>
        <v>ICTVonline=20175111</v>
      </c>
      <c r="L4592" s="3">
        <v>4591</v>
      </c>
    </row>
    <row r="4593" spans="1:12" x14ac:dyDescent="0.15">
      <c r="A4593" s="1" t="s">
        <v>908</v>
      </c>
      <c r="B4593" s="1" t="s">
        <v>849</v>
      </c>
      <c r="D4593" s="1" t="s">
        <v>850</v>
      </c>
      <c r="E4593" s="1" t="s">
        <v>1826</v>
      </c>
      <c r="F4593" s="3">
        <v>0</v>
      </c>
      <c r="G4593" s="8" t="s">
        <v>2773</v>
      </c>
      <c r="H4593" s="8" t="s">
        <v>5161</v>
      </c>
      <c r="I4593" s="3">
        <v>2</v>
      </c>
      <c r="J4593" s="3" t="s">
        <v>6461</v>
      </c>
      <c r="K4593" s="17" t="str">
        <f>HYPERLINK("http://ictvonline.org/taxonomyHistory.asp?taxnode_id=20175112","ICTVonline=20175112")</f>
        <v>ICTVonline=20175112</v>
      </c>
      <c r="L4593" s="3">
        <v>4592</v>
      </c>
    </row>
    <row r="4594" spans="1:12" x14ac:dyDescent="0.15">
      <c r="A4594" s="1" t="s">
        <v>908</v>
      </c>
      <c r="B4594" s="1" t="s">
        <v>849</v>
      </c>
      <c r="D4594" s="1" t="s">
        <v>850</v>
      </c>
      <c r="E4594" s="1" t="s">
        <v>1827</v>
      </c>
      <c r="F4594" s="3">
        <v>0</v>
      </c>
      <c r="G4594" s="8" t="s">
        <v>2773</v>
      </c>
      <c r="H4594" s="8" t="s">
        <v>5161</v>
      </c>
      <c r="I4594" s="3">
        <v>2</v>
      </c>
      <c r="J4594" s="3" t="s">
        <v>6461</v>
      </c>
      <c r="K4594" s="17" t="str">
        <f>HYPERLINK("http://ictvonline.org/taxonomyHistory.asp?taxnode_id=20175113","ICTVonline=20175113")</f>
        <v>ICTVonline=20175113</v>
      </c>
      <c r="L4594" s="3">
        <v>4593</v>
      </c>
    </row>
    <row r="4595" spans="1:12" x14ac:dyDescent="0.15">
      <c r="A4595" s="1" t="s">
        <v>908</v>
      </c>
      <c r="B4595" s="1" t="s">
        <v>849</v>
      </c>
      <c r="D4595" s="1" t="s">
        <v>1828</v>
      </c>
      <c r="E4595" s="1" t="s">
        <v>1829</v>
      </c>
      <c r="F4595" s="3">
        <v>1</v>
      </c>
      <c r="G4595" s="8" t="s">
        <v>2773</v>
      </c>
      <c r="H4595" s="8" t="s">
        <v>5164</v>
      </c>
      <c r="I4595" s="3">
        <v>3</v>
      </c>
      <c r="J4595" s="3" t="s">
        <v>6466</v>
      </c>
      <c r="K4595" s="17" t="str">
        <f>HYPERLINK("http://ictvonline.org/taxonomyHistory.asp?taxnode_id=20175115","ICTVonline=20175115")</f>
        <v>ICTVonline=20175115</v>
      </c>
      <c r="L4595" s="3">
        <v>4594</v>
      </c>
    </row>
    <row r="4596" spans="1:12" x14ac:dyDescent="0.15">
      <c r="A4596" s="1" t="s">
        <v>908</v>
      </c>
      <c r="B4596" s="1" t="s">
        <v>5073</v>
      </c>
      <c r="D4596" s="1" t="s">
        <v>5074</v>
      </c>
      <c r="E4596" s="1" t="s">
        <v>5075</v>
      </c>
      <c r="F4596" s="3">
        <v>0</v>
      </c>
      <c r="G4596" s="8" t="s">
        <v>2774</v>
      </c>
      <c r="H4596" s="8" t="s">
        <v>5159</v>
      </c>
      <c r="I4596" s="3">
        <v>31</v>
      </c>
      <c r="J4596" s="3" t="s">
        <v>6467</v>
      </c>
      <c r="K4596" s="17" t="str">
        <f>HYPERLINK("http://ictvonline.org/taxonomyHistory.asp?taxnode_id=20175119","ICTVonline=20175119")</f>
        <v>ICTVonline=20175119</v>
      </c>
      <c r="L4596" s="3">
        <v>4595</v>
      </c>
    </row>
    <row r="4597" spans="1:12" x14ac:dyDescent="0.15">
      <c r="A4597" s="1" t="s">
        <v>908</v>
      </c>
      <c r="B4597" s="1" t="s">
        <v>5073</v>
      </c>
      <c r="D4597" s="1" t="s">
        <v>5074</v>
      </c>
      <c r="E4597" s="1" t="s">
        <v>5076</v>
      </c>
      <c r="F4597" s="3">
        <v>0</v>
      </c>
      <c r="G4597" s="8" t="s">
        <v>2774</v>
      </c>
      <c r="H4597" s="8" t="s">
        <v>5159</v>
      </c>
      <c r="I4597" s="3">
        <v>31</v>
      </c>
      <c r="J4597" s="3" t="s">
        <v>6467</v>
      </c>
      <c r="K4597" s="17" t="str">
        <f>HYPERLINK("http://ictvonline.org/taxonomyHistory.asp?taxnode_id=20175120","ICTVonline=20175120")</f>
        <v>ICTVonline=20175120</v>
      </c>
      <c r="L4597" s="3">
        <v>4596</v>
      </c>
    </row>
    <row r="4598" spans="1:12" x14ac:dyDescent="0.15">
      <c r="A4598" s="1" t="s">
        <v>908</v>
      </c>
      <c r="B4598" s="1" t="s">
        <v>5073</v>
      </c>
      <c r="D4598" s="1" t="s">
        <v>5074</v>
      </c>
      <c r="E4598" s="1" t="s">
        <v>5077</v>
      </c>
      <c r="F4598" s="3">
        <v>0</v>
      </c>
      <c r="G4598" s="8" t="s">
        <v>2774</v>
      </c>
      <c r="H4598" s="8" t="s">
        <v>5159</v>
      </c>
      <c r="I4598" s="3">
        <v>31</v>
      </c>
      <c r="J4598" s="3" t="s">
        <v>6467</v>
      </c>
      <c r="K4598" s="17" t="str">
        <f>HYPERLINK("http://ictvonline.org/taxonomyHistory.asp?taxnode_id=20175121","ICTVonline=20175121")</f>
        <v>ICTVonline=20175121</v>
      </c>
      <c r="L4598" s="3">
        <v>4597</v>
      </c>
    </row>
    <row r="4599" spans="1:12" x14ac:dyDescent="0.15">
      <c r="A4599" s="1" t="s">
        <v>908</v>
      </c>
      <c r="B4599" s="1" t="s">
        <v>5073</v>
      </c>
      <c r="D4599" s="1" t="s">
        <v>5074</v>
      </c>
      <c r="E4599" s="1" t="s">
        <v>5078</v>
      </c>
      <c r="F4599" s="3">
        <v>1</v>
      </c>
      <c r="G4599" s="8" t="s">
        <v>2774</v>
      </c>
      <c r="H4599" s="8" t="s">
        <v>5159</v>
      </c>
      <c r="I4599" s="3">
        <v>31</v>
      </c>
      <c r="J4599" s="3" t="s">
        <v>6467</v>
      </c>
      <c r="K4599" s="17" t="str">
        <f>HYPERLINK("http://ictvonline.org/taxonomyHistory.asp?taxnode_id=20175122","ICTVonline=20175122")</f>
        <v>ICTVonline=20175122</v>
      </c>
      <c r="L4599" s="3">
        <v>4598</v>
      </c>
    </row>
    <row r="4600" spans="1:12" x14ac:dyDescent="0.15">
      <c r="A4600" s="1" t="s">
        <v>908</v>
      </c>
      <c r="B4600" s="1" t="s">
        <v>5073</v>
      </c>
      <c r="D4600" s="1" t="s">
        <v>5074</v>
      </c>
      <c r="E4600" s="1" t="s">
        <v>5079</v>
      </c>
      <c r="F4600" s="3">
        <v>0</v>
      </c>
      <c r="G4600" s="8" t="s">
        <v>2774</v>
      </c>
      <c r="H4600" s="8" t="s">
        <v>5159</v>
      </c>
      <c r="I4600" s="3">
        <v>31</v>
      </c>
      <c r="J4600" s="3" t="s">
        <v>6467</v>
      </c>
      <c r="K4600" s="17" t="str">
        <f>HYPERLINK("http://ictvonline.org/taxonomyHistory.asp?taxnode_id=20175123","ICTVonline=20175123")</f>
        <v>ICTVonline=20175123</v>
      </c>
      <c r="L4600" s="3">
        <v>4599</v>
      </c>
    </row>
    <row r="4601" spans="1:12" x14ac:dyDescent="0.15">
      <c r="A4601" s="1" t="s">
        <v>908</v>
      </c>
      <c r="B4601" s="1" t="s">
        <v>5073</v>
      </c>
      <c r="D4601" s="1" t="s">
        <v>5074</v>
      </c>
      <c r="E4601" s="1" t="s">
        <v>5080</v>
      </c>
      <c r="F4601" s="3">
        <v>0</v>
      </c>
      <c r="G4601" s="8" t="s">
        <v>2774</v>
      </c>
      <c r="H4601" s="8" t="s">
        <v>5159</v>
      </c>
      <c r="I4601" s="3">
        <v>31</v>
      </c>
      <c r="J4601" s="3" t="s">
        <v>6467</v>
      </c>
      <c r="K4601" s="17" t="str">
        <f>HYPERLINK("http://ictvonline.org/taxonomyHistory.asp?taxnode_id=20175124","ICTVonline=20175124")</f>
        <v>ICTVonline=20175124</v>
      </c>
      <c r="L4601" s="3">
        <v>4600</v>
      </c>
    </row>
    <row r="4602" spans="1:12" x14ac:dyDescent="0.15">
      <c r="A4602" s="1" t="s">
        <v>908</v>
      </c>
      <c r="B4602" s="1" t="s">
        <v>5073</v>
      </c>
      <c r="D4602" s="1" t="s">
        <v>5074</v>
      </c>
      <c r="E4602" s="1" t="s">
        <v>5081</v>
      </c>
      <c r="F4602" s="3">
        <v>0</v>
      </c>
      <c r="G4602" s="8" t="s">
        <v>2774</v>
      </c>
      <c r="H4602" s="8" t="s">
        <v>5159</v>
      </c>
      <c r="I4602" s="3">
        <v>31</v>
      </c>
      <c r="J4602" s="3" t="s">
        <v>6467</v>
      </c>
      <c r="K4602" s="17" t="str">
        <f>HYPERLINK("http://ictvonline.org/taxonomyHistory.asp?taxnode_id=20175125","ICTVonline=20175125")</f>
        <v>ICTVonline=20175125</v>
      </c>
      <c r="L4602" s="3">
        <v>4601</v>
      </c>
    </row>
    <row r="4603" spans="1:12" x14ac:dyDescent="0.15">
      <c r="A4603" s="1" t="s">
        <v>908</v>
      </c>
      <c r="B4603" s="1" t="s">
        <v>5073</v>
      </c>
      <c r="D4603" s="1" t="s">
        <v>5074</v>
      </c>
      <c r="E4603" s="1" t="s">
        <v>5082</v>
      </c>
      <c r="F4603" s="3">
        <v>0</v>
      </c>
      <c r="G4603" s="8" t="s">
        <v>2774</v>
      </c>
      <c r="H4603" s="8" t="s">
        <v>5159</v>
      </c>
      <c r="I4603" s="3">
        <v>31</v>
      </c>
      <c r="J4603" s="3" t="s">
        <v>6467</v>
      </c>
      <c r="K4603" s="17" t="str">
        <f>HYPERLINK("http://ictvonline.org/taxonomyHistory.asp?taxnode_id=20175126","ICTVonline=20175126")</f>
        <v>ICTVonline=20175126</v>
      </c>
      <c r="L4603" s="3">
        <v>4602</v>
      </c>
    </row>
    <row r="4604" spans="1:12" x14ac:dyDescent="0.15">
      <c r="A4604" s="1" t="s">
        <v>908</v>
      </c>
      <c r="B4604" s="1" t="s">
        <v>5073</v>
      </c>
      <c r="D4604" s="1" t="s">
        <v>5074</v>
      </c>
      <c r="E4604" s="1" t="s">
        <v>5083</v>
      </c>
      <c r="F4604" s="3">
        <v>0</v>
      </c>
      <c r="G4604" s="8" t="s">
        <v>2774</v>
      </c>
      <c r="H4604" s="8" t="s">
        <v>5159</v>
      </c>
      <c r="I4604" s="3">
        <v>31</v>
      </c>
      <c r="J4604" s="3" t="s">
        <v>6467</v>
      </c>
      <c r="K4604" s="17" t="str">
        <f>HYPERLINK("http://ictvonline.org/taxonomyHistory.asp?taxnode_id=20175127","ICTVonline=20175127")</f>
        <v>ICTVonline=20175127</v>
      </c>
      <c r="L4604" s="3">
        <v>4603</v>
      </c>
    </row>
    <row r="4605" spans="1:12" x14ac:dyDescent="0.15">
      <c r="A4605" s="1" t="s">
        <v>908</v>
      </c>
      <c r="B4605" s="1" t="s">
        <v>5073</v>
      </c>
      <c r="D4605" s="1" t="s">
        <v>5074</v>
      </c>
      <c r="E4605" s="1" t="s">
        <v>5084</v>
      </c>
      <c r="F4605" s="3">
        <v>0</v>
      </c>
      <c r="G4605" s="8" t="s">
        <v>2774</v>
      </c>
      <c r="H4605" s="8" t="s">
        <v>5159</v>
      </c>
      <c r="I4605" s="3">
        <v>31</v>
      </c>
      <c r="J4605" s="3" t="s">
        <v>6467</v>
      </c>
      <c r="K4605" s="17" t="str">
        <f>HYPERLINK("http://ictvonline.org/taxonomyHistory.asp?taxnode_id=20175128","ICTVonline=20175128")</f>
        <v>ICTVonline=20175128</v>
      </c>
      <c r="L4605" s="3">
        <v>4604</v>
      </c>
    </row>
    <row r="4606" spans="1:12" x14ac:dyDescent="0.15">
      <c r="A4606" s="1" t="s">
        <v>908</v>
      </c>
      <c r="B4606" s="1" t="s">
        <v>5073</v>
      </c>
      <c r="D4606" s="1" t="s">
        <v>5074</v>
      </c>
      <c r="E4606" s="1" t="s">
        <v>5085</v>
      </c>
      <c r="F4606" s="3">
        <v>0</v>
      </c>
      <c r="G4606" s="8" t="s">
        <v>2774</v>
      </c>
      <c r="H4606" s="8" t="s">
        <v>5159</v>
      </c>
      <c r="I4606" s="3">
        <v>31</v>
      </c>
      <c r="J4606" s="3" t="s">
        <v>6467</v>
      </c>
      <c r="K4606" s="17" t="str">
        <f>HYPERLINK("http://ictvonline.org/taxonomyHistory.asp?taxnode_id=20175129","ICTVonline=20175129")</f>
        <v>ICTVonline=20175129</v>
      </c>
      <c r="L4606" s="3">
        <v>4605</v>
      </c>
    </row>
    <row r="4607" spans="1:12" x14ac:dyDescent="0.15">
      <c r="A4607" s="1" t="s">
        <v>908</v>
      </c>
      <c r="B4607" s="1" t="s">
        <v>5073</v>
      </c>
      <c r="D4607" s="1" t="s">
        <v>5074</v>
      </c>
      <c r="E4607" s="1" t="s">
        <v>5086</v>
      </c>
      <c r="F4607" s="3">
        <v>0</v>
      </c>
      <c r="G4607" s="8" t="s">
        <v>2774</v>
      </c>
      <c r="H4607" s="8" t="s">
        <v>5159</v>
      </c>
      <c r="I4607" s="3">
        <v>31</v>
      </c>
      <c r="J4607" s="3" t="s">
        <v>6467</v>
      </c>
      <c r="K4607" s="17" t="str">
        <f>HYPERLINK("http://ictvonline.org/taxonomyHistory.asp?taxnode_id=20175130","ICTVonline=20175130")</f>
        <v>ICTVonline=20175130</v>
      </c>
      <c r="L4607" s="3">
        <v>4606</v>
      </c>
    </row>
    <row r="4608" spans="1:12" x14ac:dyDescent="0.15">
      <c r="A4608" s="1" t="s">
        <v>908</v>
      </c>
      <c r="B4608" s="1" t="s">
        <v>5073</v>
      </c>
      <c r="D4608" s="1" t="s">
        <v>5074</v>
      </c>
      <c r="E4608" s="1" t="s">
        <v>5087</v>
      </c>
      <c r="F4608" s="3">
        <v>0</v>
      </c>
      <c r="G4608" s="8" t="s">
        <v>2774</v>
      </c>
      <c r="H4608" s="8" t="s">
        <v>5159</v>
      </c>
      <c r="I4608" s="3">
        <v>31</v>
      </c>
      <c r="J4608" s="3" t="s">
        <v>6467</v>
      </c>
      <c r="K4608" s="17" t="str">
        <f>HYPERLINK("http://ictvonline.org/taxonomyHistory.asp?taxnode_id=20175131","ICTVonline=20175131")</f>
        <v>ICTVonline=20175131</v>
      </c>
      <c r="L4608" s="3">
        <v>4607</v>
      </c>
    </row>
    <row r="4609" spans="1:12" x14ac:dyDescent="0.15">
      <c r="A4609" s="1" t="s">
        <v>908</v>
      </c>
      <c r="B4609" s="1" t="s">
        <v>5073</v>
      </c>
      <c r="D4609" s="1" t="s">
        <v>5074</v>
      </c>
      <c r="E4609" s="1" t="s">
        <v>5088</v>
      </c>
      <c r="F4609" s="3">
        <v>0</v>
      </c>
      <c r="G4609" s="8" t="s">
        <v>2774</v>
      </c>
      <c r="H4609" s="8" t="s">
        <v>5159</v>
      </c>
      <c r="I4609" s="3">
        <v>31</v>
      </c>
      <c r="J4609" s="3" t="s">
        <v>6467</v>
      </c>
      <c r="K4609" s="17" t="str">
        <f>HYPERLINK("http://ictvonline.org/taxonomyHistory.asp?taxnode_id=20175132","ICTVonline=20175132")</f>
        <v>ICTVonline=20175132</v>
      </c>
      <c r="L4609" s="3">
        <v>4608</v>
      </c>
    </row>
    <row r="4610" spans="1:12" x14ac:dyDescent="0.15">
      <c r="A4610" s="1" t="s">
        <v>908</v>
      </c>
      <c r="B4610" s="1" t="s">
        <v>5073</v>
      </c>
      <c r="D4610" s="1" t="s">
        <v>5074</v>
      </c>
      <c r="E4610" s="1" t="s">
        <v>5089</v>
      </c>
      <c r="F4610" s="3">
        <v>0</v>
      </c>
      <c r="G4610" s="8" t="s">
        <v>2774</v>
      </c>
      <c r="H4610" s="8" t="s">
        <v>5159</v>
      </c>
      <c r="I4610" s="3">
        <v>31</v>
      </c>
      <c r="J4610" s="3" t="s">
        <v>6467</v>
      </c>
      <c r="K4610" s="17" t="str">
        <f>HYPERLINK("http://ictvonline.org/taxonomyHistory.asp?taxnode_id=20175133","ICTVonline=20175133")</f>
        <v>ICTVonline=20175133</v>
      </c>
      <c r="L4610" s="3">
        <v>4609</v>
      </c>
    </row>
    <row r="4611" spans="1:12" x14ac:dyDescent="0.15">
      <c r="A4611" s="1" t="s">
        <v>908</v>
      </c>
      <c r="B4611" s="1" t="s">
        <v>5073</v>
      </c>
      <c r="D4611" s="1" t="s">
        <v>5074</v>
      </c>
      <c r="E4611" s="1" t="s">
        <v>5090</v>
      </c>
      <c r="F4611" s="3">
        <v>0</v>
      </c>
      <c r="G4611" s="8" t="s">
        <v>2774</v>
      </c>
      <c r="H4611" s="8" t="s">
        <v>5159</v>
      </c>
      <c r="I4611" s="3">
        <v>31</v>
      </c>
      <c r="J4611" s="3" t="s">
        <v>6467</v>
      </c>
      <c r="K4611" s="17" t="str">
        <f>HYPERLINK("http://ictvonline.org/taxonomyHistory.asp?taxnode_id=20175134","ICTVonline=20175134")</f>
        <v>ICTVonline=20175134</v>
      </c>
      <c r="L4611" s="3">
        <v>4610</v>
      </c>
    </row>
    <row r="4612" spans="1:12" x14ac:dyDescent="0.15">
      <c r="A4612" s="1" t="s">
        <v>908</v>
      </c>
      <c r="B4612" s="1" t="s">
        <v>5073</v>
      </c>
      <c r="D4612" s="1" t="s">
        <v>5074</v>
      </c>
      <c r="E4612" s="1" t="s">
        <v>5091</v>
      </c>
      <c r="F4612" s="3">
        <v>0</v>
      </c>
      <c r="G4612" s="8" t="s">
        <v>2774</v>
      </c>
      <c r="H4612" s="8" t="s">
        <v>5159</v>
      </c>
      <c r="I4612" s="3">
        <v>31</v>
      </c>
      <c r="J4612" s="3" t="s">
        <v>6467</v>
      </c>
      <c r="K4612" s="17" t="str">
        <f>HYPERLINK("http://ictvonline.org/taxonomyHistory.asp?taxnode_id=20175135","ICTVonline=20175135")</f>
        <v>ICTVonline=20175135</v>
      </c>
      <c r="L4612" s="3">
        <v>4611</v>
      </c>
    </row>
    <row r="4613" spans="1:12" x14ac:dyDescent="0.15">
      <c r="A4613" s="1" t="s">
        <v>908</v>
      </c>
      <c r="B4613" s="1" t="s">
        <v>5073</v>
      </c>
      <c r="D4613" s="1" t="s">
        <v>5074</v>
      </c>
      <c r="E4613" s="1" t="s">
        <v>5092</v>
      </c>
      <c r="F4613" s="3">
        <v>0</v>
      </c>
      <c r="G4613" s="8" t="s">
        <v>2774</v>
      </c>
      <c r="H4613" s="8" t="s">
        <v>5159</v>
      </c>
      <c r="I4613" s="3">
        <v>31</v>
      </c>
      <c r="J4613" s="3" t="s">
        <v>6467</v>
      </c>
      <c r="K4613" s="17" t="str">
        <f>HYPERLINK("http://ictvonline.org/taxonomyHistory.asp?taxnode_id=20175136","ICTVonline=20175136")</f>
        <v>ICTVonline=20175136</v>
      </c>
      <c r="L4613" s="3">
        <v>4612</v>
      </c>
    </row>
    <row r="4614" spans="1:12" x14ac:dyDescent="0.15">
      <c r="A4614" s="1" t="s">
        <v>908</v>
      </c>
      <c r="B4614" s="1" t="s">
        <v>5073</v>
      </c>
      <c r="D4614" s="1" t="s">
        <v>5074</v>
      </c>
      <c r="E4614" s="1" t="s">
        <v>5093</v>
      </c>
      <c r="F4614" s="3">
        <v>0</v>
      </c>
      <c r="G4614" s="8" t="s">
        <v>2774</v>
      </c>
      <c r="H4614" s="8" t="s">
        <v>5159</v>
      </c>
      <c r="I4614" s="3">
        <v>31</v>
      </c>
      <c r="J4614" s="3" t="s">
        <v>6467</v>
      </c>
      <c r="K4614" s="17" t="str">
        <f>HYPERLINK("http://ictvonline.org/taxonomyHistory.asp?taxnode_id=20175137","ICTVonline=20175137")</f>
        <v>ICTVonline=20175137</v>
      </c>
      <c r="L4614" s="3">
        <v>4613</v>
      </c>
    </row>
    <row r="4615" spans="1:12" x14ac:dyDescent="0.15">
      <c r="A4615" s="1" t="s">
        <v>908</v>
      </c>
      <c r="B4615" s="1" t="s">
        <v>5073</v>
      </c>
      <c r="D4615" s="1" t="s">
        <v>5074</v>
      </c>
      <c r="E4615" s="1" t="s">
        <v>5094</v>
      </c>
      <c r="F4615" s="3">
        <v>0</v>
      </c>
      <c r="G4615" s="8" t="s">
        <v>2774</v>
      </c>
      <c r="H4615" s="8" t="s">
        <v>5159</v>
      </c>
      <c r="I4615" s="3">
        <v>31</v>
      </c>
      <c r="J4615" s="3" t="s">
        <v>6467</v>
      </c>
      <c r="K4615" s="17" t="str">
        <f>HYPERLINK("http://ictvonline.org/taxonomyHistory.asp?taxnode_id=20175138","ICTVonline=20175138")</f>
        <v>ICTVonline=20175138</v>
      </c>
      <c r="L4615" s="3">
        <v>4614</v>
      </c>
    </row>
    <row r="4616" spans="1:12" x14ac:dyDescent="0.15">
      <c r="A4616" s="1" t="s">
        <v>908</v>
      </c>
      <c r="B4616" s="1" t="s">
        <v>5073</v>
      </c>
      <c r="D4616" s="1" t="s">
        <v>5074</v>
      </c>
      <c r="E4616" s="1" t="s">
        <v>5095</v>
      </c>
      <c r="F4616" s="3">
        <v>0</v>
      </c>
      <c r="G4616" s="8" t="s">
        <v>2774</v>
      </c>
      <c r="H4616" s="8" t="s">
        <v>5159</v>
      </c>
      <c r="I4616" s="3">
        <v>31</v>
      </c>
      <c r="J4616" s="3" t="s">
        <v>6467</v>
      </c>
      <c r="K4616" s="17" t="str">
        <f>HYPERLINK("http://ictvonline.org/taxonomyHistory.asp?taxnode_id=20175139","ICTVonline=20175139")</f>
        <v>ICTVonline=20175139</v>
      </c>
      <c r="L4616" s="3">
        <v>4615</v>
      </c>
    </row>
    <row r="4617" spans="1:12" x14ac:dyDescent="0.15">
      <c r="A4617" s="1" t="s">
        <v>908</v>
      </c>
      <c r="B4617" s="1" t="s">
        <v>5073</v>
      </c>
      <c r="D4617" s="1" t="s">
        <v>5074</v>
      </c>
      <c r="E4617" s="1" t="s">
        <v>5096</v>
      </c>
      <c r="F4617" s="3">
        <v>0</v>
      </c>
      <c r="G4617" s="8" t="s">
        <v>2774</v>
      </c>
      <c r="H4617" s="8" t="s">
        <v>5159</v>
      </c>
      <c r="I4617" s="3">
        <v>31</v>
      </c>
      <c r="J4617" s="3" t="s">
        <v>6467</v>
      </c>
      <c r="K4617" s="17" t="str">
        <f>HYPERLINK("http://ictvonline.org/taxonomyHistory.asp?taxnode_id=20175140","ICTVonline=20175140")</f>
        <v>ICTVonline=20175140</v>
      </c>
      <c r="L4617" s="3">
        <v>4616</v>
      </c>
    </row>
    <row r="4618" spans="1:12" x14ac:dyDescent="0.15">
      <c r="A4618" s="1" t="s">
        <v>908</v>
      </c>
      <c r="B4618" s="1" t="s">
        <v>5073</v>
      </c>
      <c r="D4618" s="1" t="s">
        <v>5074</v>
      </c>
      <c r="E4618" s="1" t="s">
        <v>5097</v>
      </c>
      <c r="F4618" s="3">
        <v>0</v>
      </c>
      <c r="G4618" s="8" t="s">
        <v>2774</v>
      </c>
      <c r="H4618" s="8" t="s">
        <v>5159</v>
      </c>
      <c r="I4618" s="3">
        <v>31</v>
      </c>
      <c r="J4618" s="3" t="s">
        <v>6467</v>
      </c>
      <c r="K4618" s="17" t="str">
        <f>HYPERLINK("http://ictvonline.org/taxonomyHistory.asp?taxnode_id=20175141","ICTVonline=20175141")</f>
        <v>ICTVonline=20175141</v>
      </c>
      <c r="L4618" s="3">
        <v>4617</v>
      </c>
    </row>
    <row r="4619" spans="1:12" x14ac:dyDescent="0.15">
      <c r="A4619" s="1" t="s">
        <v>908</v>
      </c>
      <c r="B4619" s="1" t="s">
        <v>5073</v>
      </c>
      <c r="D4619" s="1" t="s">
        <v>5074</v>
      </c>
      <c r="E4619" s="1" t="s">
        <v>5098</v>
      </c>
      <c r="F4619" s="3">
        <v>0</v>
      </c>
      <c r="G4619" s="8" t="s">
        <v>2774</v>
      </c>
      <c r="H4619" s="8" t="s">
        <v>5159</v>
      </c>
      <c r="I4619" s="3">
        <v>31</v>
      </c>
      <c r="J4619" s="3" t="s">
        <v>6467</v>
      </c>
      <c r="K4619" s="17" t="str">
        <f>HYPERLINK("http://ictvonline.org/taxonomyHistory.asp?taxnode_id=20175142","ICTVonline=20175142")</f>
        <v>ICTVonline=20175142</v>
      </c>
      <c r="L4619" s="3">
        <v>4618</v>
      </c>
    </row>
    <row r="4620" spans="1:12" x14ac:dyDescent="0.15">
      <c r="A4620" s="1" t="s">
        <v>908</v>
      </c>
      <c r="B4620" s="1" t="s">
        <v>5073</v>
      </c>
      <c r="D4620" s="1" t="s">
        <v>5074</v>
      </c>
      <c r="E4620" s="1" t="s">
        <v>5099</v>
      </c>
      <c r="F4620" s="3">
        <v>0</v>
      </c>
      <c r="G4620" s="8" t="s">
        <v>2774</v>
      </c>
      <c r="H4620" s="8" t="s">
        <v>5159</v>
      </c>
      <c r="I4620" s="3">
        <v>31</v>
      </c>
      <c r="J4620" s="3" t="s">
        <v>6467</v>
      </c>
      <c r="K4620" s="17" t="str">
        <f>HYPERLINK("http://ictvonline.org/taxonomyHistory.asp?taxnode_id=20175143","ICTVonline=20175143")</f>
        <v>ICTVonline=20175143</v>
      </c>
      <c r="L4620" s="3">
        <v>4619</v>
      </c>
    </row>
    <row r="4621" spans="1:12" x14ac:dyDescent="0.15">
      <c r="A4621" s="1" t="s">
        <v>908</v>
      </c>
      <c r="B4621" s="1" t="s">
        <v>5073</v>
      </c>
      <c r="D4621" s="1" t="s">
        <v>5074</v>
      </c>
      <c r="E4621" s="1" t="s">
        <v>5100</v>
      </c>
      <c r="F4621" s="3">
        <v>0</v>
      </c>
      <c r="G4621" s="8" t="s">
        <v>2774</v>
      </c>
      <c r="H4621" s="8" t="s">
        <v>5159</v>
      </c>
      <c r="I4621" s="3">
        <v>31</v>
      </c>
      <c r="J4621" s="3" t="s">
        <v>6467</v>
      </c>
      <c r="K4621" s="17" t="str">
        <f>HYPERLINK("http://ictvonline.org/taxonomyHistory.asp?taxnode_id=20175144","ICTVonline=20175144")</f>
        <v>ICTVonline=20175144</v>
      </c>
      <c r="L4621" s="3">
        <v>4620</v>
      </c>
    </row>
    <row r="4622" spans="1:12" x14ac:dyDescent="0.15">
      <c r="A4622" s="1" t="s">
        <v>908</v>
      </c>
      <c r="B4622" s="1" t="s">
        <v>5073</v>
      </c>
      <c r="D4622" s="1" t="s">
        <v>5074</v>
      </c>
      <c r="E4622" s="1" t="s">
        <v>5101</v>
      </c>
      <c r="F4622" s="3">
        <v>0</v>
      </c>
      <c r="G4622" s="8" t="s">
        <v>2774</v>
      </c>
      <c r="H4622" s="8" t="s">
        <v>5159</v>
      </c>
      <c r="I4622" s="3">
        <v>31</v>
      </c>
      <c r="J4622" s="3" t="s">
        <v>6467</v>
      </c>
      <c r="K4622" s="17" t="str">
        <f>HYPERLINK("http://ictvonline.org/taxonomyHistory.asp?taxnode_id=20175145","ICTVonline=20175145")</f>
        <v>ICTVonline=20175145</v>
      </c>
      <c r="L4622" s="3">
        <v>4621</v>
      </c>
    </row>
    <row r="4623" spans="1:12" x14ac:dyDescent="0.15">
      <c r="A4623" s="1" t="s">
        <v>908</v>
      </c>
      <c r="B4623" s="1" t="s">
        <v>5073</v>
      </c>
      <c r="D4623" s="1" t="s">
        <v>5074</v>
      </c>
      <c r="E4623" s="1" t="s">
        <v>5102</v>
      </c>
      <c r="F4623" s="3">
        <v>0</v>
      </c>
      <c r="G4623" s="8" t="s">
        <v>2774</v>
      </c>
      <c r="H4623" s="8" t="s">
        <v>5159</v>
      </c>
      <c r="I4623" s="3">
        <v>31</v>
      </c>
      <c r="J4623" s="3" t="s">
        <v>6467</v>
      </c>
      <c r="K4623" s="17" t="str">
        <f>HYPERLINK("http://ictvonline.org/taxonomyHistory.asp?taxnode_id=20175146","ICTVonline=20175146")</f>
        <v>ICTVonline=20175146</v>
      </c>
      <c r="L4623" s="3">
        <v>4622</v>
      </c>
    </row>
    <row r="4624" spans="1:12" x14ac:dyDescent="0.15">
      <c r="A4624" s="1" t="s">
        <v>908</v>
      </c>
      <c r="B4624" s="1" t="s">
        <v>5073</v>
      </c>
      <c r="D4624" s="1" t="s">
        <v>5074</v>
      </c>
      <c r="E4624" s="1" t="s">
        <v>5103</v>
      </c>
      <c r="F4624" s="3">
        <v>0</v>
      </c>
      <c r="G4624" s="8" t="s">
        <v>2774</v>
      </c>
      <c r="H4624" s="8" t="s">
        <v>5159</v>
      </c>
      <c r="I4624" s="3">
        <v>31</v>
      </c>
      <c r="J4624" s="3" t="s">
        <v>6467</v>
      </c>
      <c r="K4624" s="17" t="str">
        <f>HYPERLINK("http://ictvonline.org/taxonomyHistory.asp?taxnode_id=20175147","ICTVonline=20175147")</f>
        <v>ICTVonline=20175147</v>
      </c>
      <c r="L4624" s="3">
        <v>4623</v>
      </c>
    </row>
    <row r="4625" spans="1:12" x14ac:dyDescent="0.15">
      <c r="A4625" s="1" t="s">
        <v>908</v>
      </c>
      <c r="B4625" s="1" t="s">
        <v>5073</v>
      </c>
      <c r="D4625" s="1" t="s">
        <v>5074</v>
      </c>
      <c r="E4625" s="1" t="s">
        <v>5104</v>
      </c>
      <c r="F4625" s="3">
        <v>0</v>
      </c>
      <c r="G4625" s="8" t="s">
        <v>2774</v>
      </c>
      <c r="H4625" s="8" t="s">
        <v>5159</v>
      </c>
      <c r="I4625" s="3">
        <v>31</v>
      </c>
      <c r="J4625" s="3" t="s">
        <v>6467</v>
      </c>
      <c r="K4625" s="17" t="str">
        <f>HYPERLINK("http://ictvonline.org/taxonomyHistory.asp?taxnode_id=20175148","ICTVonline=20175148")</f>
        <v>ICTVonline=20175148</v>
      </c>
      <c r="L4625" s="3">
        <v>4624</v>
      </c>
    </row>
    <row r="4626" spans="1:12" x14ac:dyDescent="0.15">
      <c r="A4626" s="1" t="s">
        <v>908</v>
      </c>
      <c r="B4626" s="1" t="s">
        <v>5073</v>
      </c>
      <c r="D4626" s="1" t="s">
        <v>5074</v>
      </c>
      <c r="E4626" s="1" t="s">
        <v>5105</v>
      </c>
      <c r="F4626" s="3">
        <v>0</v>
      </c>
      <c r="G4626" s="8" t="s">
        <v>2774</v>
      </c>
      <c r="H4626" s="8" t="s">
        <v>5159</v>
      </c>
      <c r="I4626" s="3">
        <v>31</v>
      </c>
      <c r="J4626" s="3" t="s">
        <v>6467</v>
      </c>
      <c r="K4626" s="17" t="str">
        <f>HYPERLINK("http://ictvonline.org/taxonomyHistory.asp?taxnode_id=20175149","ICTVonline=20175149")</f>
        <v>ICTVonline=20175149</v>
      </c>
      <c r="L4626" s="3">
        <v>4625</v>
      </c>
    </row>
    <row r="4627" spans="1:12" x14ac:dyDescent="0.15">
      <c r="A4627" s="1" t="s">
        <v>908</v>
      </c>
      <c r="B4627" s="1" t="s">
        <v>5073</v>
      </c>
      <c r="D4627" s="1" t="s">
        <v>5074</v>
      </c>
      <c r="E4627" s="1" t="s">
        <v>5106</v>
      </c>
      <c r="F4627" s="3">
        <v>0</v>
      </c>
      <c r="G4627" s="8" t="s">
        <v>2774</v>
      </c>
      <c r="H4627" s="8" t="s">
        <v>5159</v>
      </c>
      <c r="I4627" s="3">
        <v>31</v>
      </c>
      <c r="J4627" s="3" t="s">
        <v>6467</v>
      </c>
      <c r="K4627" s="17" t="str">
        <f>HYPERLINK("http://ictvonline.org/taxonomyHistory.asp?taxnode_id=20175150","ICTVonline=20175150")</f>
        <v>ICTVonline=20175150</v>
      </c>
      <c r="L4627" s="3">
        <v>4626</v>
      </c>
    </row>
    <row r="4628" spans="1:12" x14ac:dyDescent="0.15">
      <c r="A4628" s="1" t="s">
        <v>908</v>
      </c>
      <c r="B4628" s="1" t="s">
        <v>5073</v>
      </c>
      <c r="D4628" s="1" t="s">
        <v>5074</v>
      </c>
      <c r="E4628" s="1" t="s">
        <v>5107</v>
      </c>
      <c r="F4628" s="3">
        <v>0</v>
      </c>
      <c r="G4628" s="8" t="s">
        <v>2774</v>
      </c>
      <c r="H4628" s="8" t="s">
        <v>5159</v>
      </c>
      <c r="I4628" s="3">
        <v>31</v>
      </c>
      <c r="J4628" s="3" t="s">
        <v>6467</v>
      </c>
      <c r="K4628" s="17" t="str">
        <f>HYPERLINK("http://ictvonline.org/taxonomyHistory.asp?taxnode_id=20175151","ICTVonline=20175151")</f>
        <v>ICTVonline=20175151</v>
      </c>
      <c r="L4628" s="3">
        <v>4627</v>
      </c>
    </row>
    <row r="4629" spans="1:12" x14ac:dyDescent="0.15">
      <c r="A4629" s="1" t="s">
        <v>908</v>
      </c>
      <c r="B4629" s="1" t="s">
        <v>5073</v>
      </c>
      <c r="D4629" s="1" t="s">
        <v>5074</v>
      </c>
      <c r="E4629" s="1" t="s">
        <v>5108</v>
      </c>
      <c r="F4629" s="3">
        <v>0</v>
      </c>
      <c r="G4629" s="8" t="s">
        <v>2774</v>
      </c>
      <c r="H4629" s="8" t="s">
        <v>5159</v>
      </c>
      <c r="I4629" s="3">
        <v>31</v>
      </c>
      <c r="J4629" s="3" t="s">
        <v>6467</v>
      </c>
      <c r="K4629" s="17" t="str">
        <f>HYPERLINK("http://ictvonline.org/taxonomyHistory.asp?taxnode_id=20175152","ICTVonline=20175152")</f>
        <v>ICTVonline=20175152</v>
      </c>
      <c r="L4629" s="3">
        <v>4628</v>
      </c>
    </row>
    <row r="4630" spans="1:12" x14ac:dyDescent="0.15">
      <c r="A4630" s="1" t="s">
        <v>908</v>
      </c>
      <c r="B4630" s="1" t="s">
        <v>5073</v>
      </c>
      <c r="D4630" s="1" t="s">
        <v>5074</v>
      </c>
      <c r="E4630" s="1" t="s">
        <v>5109</v>
      </c>
      <c r="F4630" s="3">
        <v>0</v>
      </c>
      <c r="G4630" s="8" t="s">
        <v>2774</v>
      </c>
      <c r="H4630" s="8" t="s">
        <v>5159</v>
      </c>
      <c r="I4630" s="3">
        <v>31</v>
      </c>
      <c r="J4630" s="3" t="s">
        <v>6467</v>
      </c>
      <c r="K4630" s="17" t="str">
        <f>HYPERLINK("http://ictvonline.org/taxonomyHistory.asp?taxnode_id=20175153","ICTVonline=20175153")</f>
        <v>ICTVonline=20175153</v>
      </c>
      <c r="L4630" s="3">
        <v>4629</v>
      </c>
    </row>
    <row r="4631" spans="1:12" x14ac:dyDescent="0.15">
      <c r="A4631" s="1" t="s">
        <v>908</v>
      </c>
      <c r="B4631" s="1" t="s">
        <v>5073</v>
      </c>
      <c r="D4631" s="1" t="s">
        <v>5074</v>
      </c>
      <c r="E4631" s="1" t="s">
        <v>5110</v>
      </c>
      <c r="F4631" s="3">
        <v>0</v>
      </c>
      <c r="G4631" s="8" t="s">
        <v>2774</v>
      </c>
      <c r="H4631" s="8" t="s">
        <v>5159</v>
      </c>
      <c r="I4631" s="3">
        <v>31</v>
      </c>
      <c r="J4631" s="3" t="s">
        <v>6467</v>
      </c>
      <c r="K4631" s="17" t="str">
        <f>HYPERLINK("http://ictvonline.org/taxonomyHistory.asp?taxnode_id=20175154","ICTVonline=20175154")</f>
        <v>ICTVonline=20175154</v>
      </c>
      <c r="L4631" s="3">
        <v>4630</v>
      </c>
    </row>
    <row r="4632" spans="1:12" x14ac:dyDescent="0.15">
      <c r="A4632" s="1" t="s">
        <v>908</v>
      </c>
      <c r="B4632" s="1" t="s">
        <v>5073</v>
      </c>
      <c r="D4632" s="1" t="s">
        <v>5074</v>
      </c>
      <c r="E4632" s="1" t="s">
        <v>5111</v>
      </c>
      <c r="F4632" s="3">
        <v>0</v>
      </c>
      <c r="G4632" s="8" t="s">
        <v>2774</v>
      </c>
      <c r="H4632" s="8" t="s">
        <v>5159</v>
      </c>
      <c r="I4632" s="3">
        <v>31</v>
      </c>
      <c r="J4632" s="3" t="s">
        <v>6467</v>
      </c>
      <c r="K4632" s="17" t="str">
        <f>HYPERLINK("http://ictvonline.org/taxonomyHistory.asp?taxnode_id=20175155","ICTVonline=20175155")</f>
        <v>ICTVonline=20175155</v>
      </c>
      <c r="L4632" s="3">
        <v>4631</v>
      </c>
    </row>
    <row r="4633" spans="1:12" x14ac:dyDescent="0.15">
      <c r="A4633" s="1" t="s">
        <v>908</v>
      </c>
      <c r="B4633" s="1" t="s">
        <v>5073</v>
      </c>
      <c r="D4633" s="1" t="s">
        <v>5074</v>
      </c>
      <c r="E4633" s="1" t="s">
        <v>5112</v>
      </c>
      <c r="F4633" s="3">
        <v>0</v>
      </c>
      <c r="G4633" s="8" t="s">
        <v>2774</v>
      </c>
      <c r="H4633" s="8" t="s">
        <v>5159</v>
      </c>
      <c r="I4633" s="3">
        <v>31</v>
      </c>
      <c r="J4633" s="3" t="s">
        <v>6467</v>
      </c>
      <c r="K4633" s="17" t="str">
        <f>HYPERLINK("http://ictvonline.org/taxonomyHistory.asp?taxnode_id=20175156","ICTVonline=20175156")</f>
        <v>ICTVonline=20175156</v>
      </c>
      <c r="L4633" s="3">
        <v>4632</v>
      </c>
    </row>
    <row r="4634" spans="1:12" x14ac:dyDescent="0.15">
      <c r="A4634" s="1" t="s">
        <v>908</v>
      </c>
      <c r="B4634" s="1" t="s">
        <v>5073</v>
      </c>
      <c r="D4634" s="1" t="s">
        <v>5074</v>
      </c>
      <c r="E4634" s="1" t="s">
        <v>5113</v>
      </c>
      <c r="F4634" s="3">
        <v>0</v>
      </c>
      <c r="G4634" s="8" t="s">
        <v>2774</v>
      </c>
      <c r="H4634" s="8" t="s">
        <v>5159</v>
      </c>
      <c r="I4634" s="3">
        <v>31</v>
      </c>
      <c r="J4634" s="3" t="s">
        <v>6467</v>
      </c>
      <c r="K4634" s="17" t="str">
        <f>HYPERLINK("http://ictvonline.org/taxonomyHistory.asp?taxnode_id=20175157","ICTVonline=20175157")</f>
        <v>ICTVonline=20175157</v>
      </c>
      <c r="L4634" s="3">
        <v>4633</v>
      </c>
    </row>
    <row r="4635" spans="1:12" x14ac:dyDescent="0.15">
      <c r="A4635" s="1" t="s">
        <v>908</v>
      </c>
      <c r="B4635" s="1" t="s">
        <v>5073</v>
      </c>
      <c r="D4635" s="1" t="s">
        <v>5074</v>
      </c>
      <c r="E4635" s="1" t="s">
        <v>5114</v>
      </c>
      <c r="F4635" s="3">
        <v>0</v>
      </c>
      <c r="G4635" s="8" t="s">
        <v>2774</v>
      </c>
      <c r="H4635" s="8" t="s">
        <v>5159</v>
      </c>
      <c r="I4635" s="3">
        <v>31</v>
      </c>
      <c r="J4635" s="3" t="s">
        <v>6467</v>
      </c>
      <c r="K4635" s="17" t="str">
        <f>HYPERLINK("http://ictvonline.org/taxonomyHistory.asp?taxnode_id=20175158","ICTVonline=20175158")</f>
        <v>ICTVonline=20175158</v>
      </c>
      <c r="L4635" s="3">
        <v>4634</v>
      </c>
    </row>
    <row r="4636" spans="1:12" x14ac:dyDescent="0.15">
      <c r="A4636" s="1" t="s">
        <v>908</v>
      </c>
      <c r="B4636" s="1" t="s">
        <v>5073</v>
      </c>
      <c r="D4636" s="1" t="s">
        <v>5074</v>
      </c>
      <c r="E4636" s="1" t="s">
        <v>5115</v>
      </c>
      <c r="F4636" s="3">
        <v>0</v>
      </c>
      <c r="G4636" s="8" t="s">
        <v>2774</v>
      </c>
      <c r="H4636" s="8" t="s">
        <v>5159</v>
      </c>
      <c r="I4636" s="3">
        <v>31</v>
      </c>
      <c r="J4636" s="3" t="s">
        <v>6467</v>
      </c>
      <c r="K4636" s="17" t="str">
        <f>HYPERLINK("http://ictvonline.org/taxonomyHistory.asp?taxnode_id=20175159","ICTVonline=20175159")</f>
        <v>ICTVonline=20175159</v>
      </c>
      <c r="L4636" s="3">
        <v>4635</v>
      </c>
    </row>
    <row r="4637" spans="1:12" x14ac:dyDescent="0.15">
      <c r="A4637" s="1" t="s">
        <v>908</v>
      </c>
      <c r="B4637" s="1" t="s">
        <v>5073</v>
      </c>
      <c r="D4637" s="1" t="s">
        <v>5074</v>
      </c>
      <c r="E4637" s="1" t="s">
        <v>5116</v>
      </c>
      <c r="F4637" s="3">
        <v>0</v>
      </c>
      <c r="G4637" s="8" t="s">
        <v>2774</v>
      </c>
      <c r="H4637" s="8" t="s">
        <v>5159</v>
      </c>
      <c r="I4637" s="3">
        <v>31</v>
      </c>
      <c r="J4637" s="3" t="s">
        <v>6467</v>
      </c>
      <c r="K4637" s="17" t="str">
        <f>HYPERLINK("http://ictvonline.org/taxonomyHistory.asp?taxnode_id=20175160","ICTVonline=20175160")</f>
        <v>ICTVonline=20175160</v>
      </c>
      <c r="L4637" s="3">
        <v>4636</v>
      </c>
    </row>
    <row r="4638" spans="1:12" x14ac:dyDescent="0.15">
      <c r="A4638" s="1" t="s">
        <v>908</v>
      </c>
      <c r="B4638" s="1" t="s">
        <v>5073</v>
      </c>
      <c r="D4638" s="1" t="s">
        <v>5074</v>
      </c>
      <c r="E4638" s="1" t="s">
        <v>5117</v>
      </c>
      <c r="F4638" s="3">
        <v>0</v>
      </c>
      <c r="G4638" s="8" t="s">
        <v>2774</v>
      </c>
      <c r="H4638" s="8" t="s">
        <v>5159</v>
      </c>
      <c r="I4638" s="3">
        <v>31</v>
      </c>
      <c r="J4638" s="3" t="s">
        <v>6467</v>
      </c>
      <c r="K4638" s="17" t="str">
        <f>HYPERLINK("http://ictvonline.org/taxonomyHistory.asp?taxnode_id=20175161","ICTVonline=20175161")</f>
        <v>ICTVonline=20175161</v>
      </c>
      <c r="L4638" s="3">
        <v>4637</v>
      </c>
    </row>
    <row r="4639" spans="1:12" x14ac:dyDescent="0.15">
      <c r="A4639" s="1" t="s">
        <v>908</v>
      </c>
      <c r="B4639" s="1" t="s">
        <v>5073</v>
      </c>
      <c r="D4639" s="1" t="s">
        <v>5074</v>
      </c>
      <c r="E4639" s="1" t="s">
        <v>6468</v>
      </c>
      <c r="F4639" s="3">
        <v>0</v>
      </c>
      <c r="G4639" s="8" t="s">
        <v>2774</v>
      </c>
      <c r="H4639" s="8" t="s">
        <v>5162</v>
      </c>
      <c r="I4639" s="3">
        <v>32</v>
      </c>
      <c r="J4639" s="3" t="s">
        <v>6146</v>
      </c>
      <c r="K4639" s="17" t="str">
        <f>HYPERLINK("http://ictvonline.org/taxonomyHistory.asp?taxnode_id=20175162","ICTVonline=20175162")</f>
        <v>ICTVonline=20175162</v>
      </c>
      <c r="L4639" s="3">
        <v>4638</v>
      </c>
    </row>
    <row r="4640" spans="1:12" x14ac:dyDescent="0.15">
      <c r="A4640" s="1" t="s">
        <v>908</v>
      </c>
      <c r="B4640" s="1" t="s">
        <v>5073</v>
      </c>
      <c r="D4640" s="1" t="s">
        <v>5074</v>
      </c>
      <c r="E4640" s="1" t="s">
        <v>5118</v>
      </c>
      <c r="F4640" s="3">
        <v>0</v>
      </c>
      <c r="G4640" s="8" t="s">
        <v>2774</v>
      </c>
      <c r="H4640" s="8" t="s">
        <v>5159</v>
      </c>
      <c r="I4640" s="3">
        <v>31</v>
      </c>
      <c r="J4640" s="3" t="s">
        <v>6467</v>
      </c>
      <c r="K4640" s="17" t="str">
        <f>HYPERLINK("http://ictvonline.org/taxonomyHistory.asp?taxnode_id=20175163","ICTVonline=20175163")</f>
        <v>ICTVonline=20175163</v>
      </c>
      <c r="L4640" s="3">
        <v>4639</v>
      </c>
    </row>
    <row r="4641" spans="1:12" x14ac:dyDescent="0.15">
      <c r="A4641" s="1" t="s">
        <v>908</v>
      </c>
      <c r="B4641" s="1" t="s">
        <v>5073</v>
      </c>
      <c r="D4641" s="1" t="s">
        <v>5074</v>
      </c>
      <c r="E4641" s="1" t="s">
        <v>5119</v>
      </c>
      <c r="F4641" s="3">
        <v>0</v>
      </c>
      <c r="G4641" s="8" t="s">
        <v>2774</v>
      </c>
      <c r="H4641" s="8" t="s">
        <v>5159</v>
      </c>
      <c r="I4641" s="3">
        <v>31</v>
      </c>
      <c r="J4641" s="3" t="s">
        <v>6467</v>
      </c>
      <c r="K4641" s="17" t="str">
        <f>HYPERLINK("http://ictvonline.org/taxonomyHistory.asp?taxnode_id=20175164","ICTVonline=20175164")</f>
        <v>ICTVonline=20175164</v>
      </c>
      <c r="L4641" s="3">
        <v>4640</v>
      </c>
    </row>
    <row r="4642" spans="1:12" x14ac:dyDescent="0.15">
      <c r="A4642" s="1" t="s">
        <v>908</v>
      </c>
      <c r="B4642" s="1" t="s">
        <v>5073</v>
      </c>
      <c r="D4642" s="1" t="s">
        <v>5074</v>
      </c>
      <c r="E4642" s="1" t="s">
        <v>5120</v>
      </c>
      <c r="F4642" s="3">
        <v>0</v>
      </c>
      <c r="G4642" s="8" t="s">
        <v>2774</v>
      </c>
      <c r="H4642" s="8" t="s">
        <v>5159</v>
      </c>
      <c r="I4642" s="3">
        <v>31</v>
      </c>
      <c r="J4642" s="3" t="s">
        <v>6467</v>
      </c>
      <c r="K4642" s="17" t="str">
        <f>HYPERLINK("http://ictvonline.org/taxonomyHistory.asp?taxnode_id=20175165","ICTVonline=20175165")</f>
        <v>ICTVonline=20175165</v>
      </c>
      <c r="L4642" s="3">
        <v>4641</v>
      </c>
    </row>
    <row r="4643" spans="1:12" x14ac:dyDescent="0.15">
      <c r="A4643" s="1" t="s">
        <v>908</v>
      </c>
      <c r="B4643" s="1" t="s">
        <v>5073</v>
      </c>
      <c r="D4643" s="1" t="s">
        <v>5074</v>
      </c>
      <c r="E4643" s="1" t="s">
        <v>5121</v>
      </c>
      <c r="F4643" s="3">
        <v>0</v>
      </c>
      <c r="G4643" s="8" t="s">
        <v>2774</v>
      </c>
      <c r="H4643" s="8" t="s">
        <v>5159</v>
      </c>
      <c r="I4643" s="3">
        <v>31</v>
      </c>
      <c r="J4643" s="3" t="s">
        <v>6467</v>
      </c>
      <c r="K4643" s="17" t="str">
        <f>HYPERLINK("http://ictvonline.org/taxonomyHistory.asp?taxnode_id=20175166","ICTVonline=20175166")</f>
        <v>ICTVonline=20175166</v>
      </c>
      <c r="L4643" s="3">
        <v>4642</v>
      </c>
    </row>
    <row r="4644" spans="1:12" x14ac:dyDescent="0.15">
      <c r="A4644" s="1" t="s">
        <v>908</v>
      </c>
      <c r="B4644" s="1" t="s">
        <v>5073</v>
      </c>
      <c r="D4644" s="1" t="s">
        <v>5074</v>
      </c>
      <c r="E4644" s="1" t="s">
        <v>5122</v>
      </c>
      <c r="F4644" s="3">
        <v>0</v>
      </c>
      <c r="G4644" s="8" t="s">
        <v>2774</v>
      </c>
      <c r="H4644" s="8" t="s">
        <v>5159</v>
      </c>
      <c r="I4644" s="3">
        <v>31</v>
      </c>
      <c r="J4644" s="3" t="s">
        <v>6467</v>
      </c>
      <c r="K4644" s="17" t="str">
        <f>HYPERLINK("http://ictvonline.org/taxonomyHistory.asp?taxnode_id=20175167","ICTVonline=20175167")</f>
        <v>ICTVonline=20175167</v>
      </c>
      <c r="L4644" s="3">
        <v>4643</v>
      </c>
    </row>
    <row r="4645" spans="1:12" x14ac:dyDescent="0.15">
      <c r="A4645" s="1" t="s">
        <v>908</v>
      </c>
      <c r="B4645" s="1" t="s">
        <v>5073</v>
      </c>
      <c r="D4645" s="1" t="s">
        <v>5074</v>
      </c>
      <c r="E4645" s="1" t="s">
        <v>5123</v>
      </c>
      <c r="F4645" s="3">
        <v>0</v>
      </c>
      <c r="G4645" s="8" t="s">
        <v>2774</v>
      </c>
      <c r="H4645" s="8" t="s">
        <v>5159</v>
      </c>
      <c r="I4645" s="3">
        <v>31</v>
      </c>
      <c r="J4645" s="3" t="s">
        <v>6467</v>
      </c>
      <c r="K4645" s="17" t="str">
        <f>HYPERLINK("http://ictvonline.org/taxonomyHistory.asp?taxnode_id=20175168","ICTVonline=20175168")</f>
        <v>ICTVonline=20175168</v>
      </c>
      <c r="L4645" s="3">
        <v>4644</v>
      </c>
    </row>
    <row r="4646" spans="1:12" x14ac:dyDescent="0.15">
      <c r="A4646" s="1" t="s">
        <v>908</v>
      </c>
      <c r="B4646" s="1" t="s">
        <v>5073</v>
      </c>
      <c r="D4646" s="1" t="s">
        <v>5074</v>
      </c>
      <c r="E4646" s="1" t="s">
        <v>5124</v>
      </c>
      <c r="F4646" s="3">
        <v>0</v>
      </c>
      <c r="G4646" s="8" t="s">
        <v>2774</v>
      </c>
      <c r="H4646" s="8" t="s">
        <v>5159</v>
      </c>
      <c r="I4646" s="3">
        <v>31</v>
      </c>
      <c r="J4646" s="3" t="s">
        <v>6467</v>
      </c>
      <c r="K4646" s="17" t="str">
        <f>HYPERLINK("http://ictvonline.org/taxonomyHistory.asp?taxnode_id=20175169","ICTVonline=20175169")</f>
        <v>ICTVonline=20175169</v>
      </c>
      <c r="L4646" s="3">
        <v>4645</v>
      </c>
    </row>
    <row r="4647" spans="1:12" x14ac:dyDescent="0.15">
      <c r="A4647" s="1" t="s">
        <v>908</v>
      </c>
      <c r="B4647" s="1" t="s">
        <v>5073</v>
      </c>
      <c r="D4647" s="1" t="s">
        <v>5074</v>
      </c>
      <c r="E4647" s="1" t="s">
        <v>5125</v>
      </c>
      <c r="F4647" s="3">
        <v>0</v>
      </c>
      <c r="G4647" s="8" t="s">
        <v>2774</v>
      </c>
      <c r="H4647" s="8" t="s">
        <v>5159</v>
      </c>
      <c r="I4647" s="3">
        <v>31</v>
      </c>
      <c r="J4647" s="3" t="s">
        <v>6467</v>
      </c>
      <c r="K4647" s="17" t="str">
        <f>HYPERLINK("http://ictvonline.org/taxonomyHistory.asp?taxnode_id=20175170","ICTVonline=20175170")</f>
        <v>ICTVonline=20175170</v>
      </c>
      <c r="L4647" s="3">
        <v>4646</v>
      </c>
    </row>
    <row r="4648" spans="1:12" x14ac:dyDescent="0.15">
      <c r="A4648" s="1" t="s">
        <v>908</v>
      </c>
      <c r="B4648" s="1" t="s">
        <v>5073</v>
      </c>
      <c r="D4648" s="1" t="s">
        <v>5074</v>
      </c>
      <c r="E4648" s="1" t="s">
        <v>5126</v>
      </c>
      <c r="F4648" s="3">
        <v>0</v>
      </c>
      <c r="G4648" s="8" t="s">
        <v>2774</v>
      </c>
      <c r="H4648" s="8" t="s">
        <v>5159</v>
      </c>
      <c r="I4648" s="3">
        <v>31</v>
      </c>
      <c r="J4648" s="3" t="s">
        <v>6467</v>
      </c>
      <c r="K4648" s="17" t="str">
        <f>HYPERLINK("http://ictvonline.org/taxonomyHistory.asp?taxnode_id=20175171","ICTVonline=20175171")</f>
        <v>ICTVonline=20175171</v>
      </c>
      <c r="L4648" s="3">
        <v>4647</v>
      </c>
    </row>
    <row r="4649" spans="1:12" x14ac:dyDescent="0.15">
      <c r="A4649" s="1" t="s">
        <v>908</v>
      </c>
      <c r="B4649" s="1" t="s">
        <v>5073</v>
      </c>
      <c r="D4649" s="1" t="s">
        <v>5074</v>
      </c>
      <c r="E4649" s="1" t="s">
        <v>5127</v>
      </c>
      <c r="F4649" s="3">
        <v>0</v>
      </c>
      <c r="G4649" s="8" t="s">
        <v>2774</v>
      </c>
      <c r="H4649" s="8" t="s">
        <v>5159</v>
      </c>
      <c r="I4649" s="3">
        <v>31</v>
      </c>
      <c r="J4649" s="3" t="s">
        <v>6467</v>
      </c>
      <c r="K4649" s="17" t="str">
        <f>HYPERLINK("http://ictvonline.org/taxonomyHistory.asp?taxnode_id=20175172","ICTVonline=20175172")</f>
        <v>ICTVonline=20175172</v>
      </c>
      <c r="L4649" s="3">
        <v>4648</v>
      </c>
    </row>
    <row r="4650" spans="1:12" x14ac:dyDescent="0.15">
      <c r="A4650" s="1" t="s">
        <v>908</v>
      </c>
      <c r="B4650" s="1" t="s">
        <v>5073</v>
      </c>
      <c r="D4650" s="1" t="s">
        <v>5074</v>
      </c>
      <c r="E4650" s="1" t="s">
        <v>5128</v>
      </c>
      <c r="F4650" s="3">
        <v>0</v>
      </c>
      <c r="G4650" s="8" t="s">
        <v>2774</v>
      </c>
      <c r="H4650" s="8" t="s">
        <v>5159</v>
      </c>
      <c r="I4650" s="3">
        <v>31</v>
      </c>
      <c r="J4650" s="3" t="s">
        <v>6467</v>
      </c>
      <c r="K4650" s="17" t="str">
        <f>HYPERLINK("http://ictvonline.org/taxonomyHistory.asp?taxnode_id=20175173","ICTVonline=20175173")</f>
        <v>ICTVonline=20175173</v>
      </c>
      <c r="L4650" s="3">
        <v>4649</v>
      </c>
    </row>
    <row r="4651" spans="1:12" x14ac:dyDescent="0.15">
      <c r="A4651" s="1" t="s">
        <v>908</v>
      </c>
      <c r="B4651" s="1" t="s">
        <v>5073</v>
      </c>
      <c r="D4651" s="1" t="s">
        <v>5074</v>
      </c>
      <c r="E4651" s="1" t="s">
        <v>5129</v>
      </c>
      <c r="F4651" s="3">
        <v>0</v>
      </c>
      <c r="G4651" s="8" t="s">
        <v>2774</v>
      </c>
      <c r="H4651" s="8" t="s">
        <v>5159</v>
      </c>
      <c r="I4651" s="3">
        <v>31</v>
      </c>
      <c r="J4651" s="3" t="s">
        <v>6467</v>
      </c>
      <c r="K4651" s="17" t="str">
        <f>HYPERLINK("http://ictvonline.org/taxonomyHistory.asp?taxnode_id=20175174","ICTVonline=20175174")</f>
        <v>ICTVonline=20175174</v>
      </c>
      <c r="L4651" s="3">
        <v>4650</v>
      </c>
    </row>
    <row r="4652" spans="1:12" x14ac:dyDescent="0.15">
      <c r="A4652" s="1" t="s">
        <v>908</v>
      </c>
      <c r="B4652" s="1" t="s">
        <v>5073</v>
      </c>
      <c r="D4652" s="1" t="s">
        <v>5074</v>
      </c>
      <c r="E4652" s="1" t="s">
        <v>5130</v>
      </c>
      <c r="F4652" s="3">
        <v>0</v>
      </c>
      <c r="G4652" s="8" t="s">
        <v>2774</v>
      </c>
      <c r="H4652" s="8" t="s">
        <v>5159</v>
      </c>
      <c r="I4652" s="3">
        <v>31</v>
      </c>
      <c r="J4652" s="3" t="s">
        <v>6467</v>
      </c>
      <c r="K4652" s="17" t="str">
        <f>HYPERLINK("http://ictvonline.org/taxonomyHistory.asp?taxnode_id=20175175","ICTVonline=20175175")</f>
        <v>ICTVonline=20175175</v>
      </c>
      <c r="L4652" s="3">
        <v>4651</v>
      </c>
    </row>
    <row r="4653" spans="1:12" x14ac:dyDescent="0.15">
      <c r="A4653" s="1" t="s">
        <v>908</v>
      </c>
      <c r="B4653" s="1" t="s">
        <v>5073</v>
      </c>
      <c r="D4653" s="1" t="s">
        <v>5074</v>
      </c>
      <c r="E4653" s="1" t="s">
        <v>5131</v>
      </c>
      <c r="F4653" s="3">
        <v>0</v>
      </c>
      <c r="G4653" s="8" t="s">
        <v>2774</v>
      </c>
      <c r="H4653" s="8" t="s">
        <v>5159</v>
      </c>
      <c r="I4653" s="3">
        <v>31</v>
      </c>
      <c r="J4653" s="3" t="s">
        <v>6467</v>
      </c>
      <c r="K4653" s="17" t="str">
        <f>HYPERLINK("http://ictvonline.org/taxonomyHistory.asp?taxnode_id=20175176","ICTVonline=20175176")</f>
        <v>ICTVonline=20175176</v>
      </c>
      <c r="L4653" s="3">
        <v>4652</v>
      </c>
    </row>
    <row r="4654" spans="1:12" x14ac:dyDescent="0.15">
      <c r="A4654" s="1" t="s">
        <v>908</v>
      </c>
      <c r="B4654" s="1" t="s">
        <v>5073</v>
      </c>
      <c r="D4654" s="1" t="s">
        <v>5074</v>
      </c>
      <c r="E4654" s="1" t="s">
        <v>5132</v>
      </c>
      <c r="F4654" s="3">
        <v>0</v>
      </c>
      <c r="G4654" s="8" t="s">
        <v>2774</v>
      </c>
      <c r="H4654" s="8" t="s">
        <v>5159</v>
      </c>
      <c r="I4654" s="3">
        <v>31</v>
      </c>
      <c r="J4654" s="3" t="s">
        <v>6467</v>
      </c>
      <c r="K4654" s="17" t="str">
        <f>HYPERLINK("http://ictvonline.org/taxonomyHistory.asp?taxnode_id=20175177","ICTVonline=20175177")</f>
        <v>ICTVonline=20175177</v>
      </c>
      <c r="L4654" s="3">
        <v>4653</v>
      </c>
    </row>
    <row r="4655" spans="1:12" x14ac:dyDescent="0.15">
      <c r="A4655" s="1" t="s">
        <v>908</v>
      </c>
      <c r="B4655" s="1" t="s">
        <v>5073</v>
      </c>
      <c r="D4655" s="1" t="s">
        <v>5074</v>
      </c>
      <c r="E4655" s="1" t="s">
        <v>5133</v>
      </c>
      <c r="F4655" s="3">
        <v>0</v>
      </c>
      <c r="G4655" s="8" t="s">
        <v>2774</v>
      </c>
      <c r="H4655" s="8" t="s">
        <v>5159</v>
      </c>
      <c r="I4655" s="3">
        <v>31</v>
      </c>
      <c r="J4655" s="3" t="s">
        <v>6467</v>
      </c>
      <c r="K4655" s="17" t="str">
        <f>HYPERLINK("http://ictvonline.org/taxonomyHistory.asp?taxnode_id=20175178","ICTVonline=20175178")</f>
        <v>ICTVonline=20175178</v>
      </c>
      <c r="L4655" s="3">
        <v>4654</v>
      </c>
    </row>
    <row r="4656" spans="1:12" x14ac:dyDescent="0.15">
      <c r="A4656" s="1" t="s">
        <v>908</v>
      </c>
      <c r="B4656" s="1" t="s">
        <v>5073</v>
      </c>
      <c r="D4656" s="1" t="s">
        <v>5074</v>
      </c>
      <c r="E4656" s="1" t="s">
        <v>5134</v>
      </c>
      <c r="F4656" s="3">
        <v>0</v>
      </c>
      <c r="G4656" s="8" t="s">
        <v>2774</v>
      </c>
      <c r="H4656" s="8" t="s">
        <v>5159</v>
      </c>
      <c r="I4656" s="3">
        <v>31</v>
      </c>
      <c r="J4656" s="3" t="s">
        <v>6467</v>
      </c>
      <c r="K4656" s="17" t="str">
        <f>HYPERLINK("http://ictvonline.org/taxonomyHistory.asp?taxnode_id=20175179","ICTVonline=20175179")</f>
        <v>ICTVonline=20175179</v>
      </c>
      <c r="L4656" s="3">
        <v>4655</v>
      </c>
    </row>
    <row r="4657" spans="1:12" x14ac:dyDescent="0.15">
      <c r="A4657" s="1" t="s">
        <v>908</v>
      </c>
      <c r="B4657" s="1" t="s">
        <v>5073</v>
      </c>
      <c r="D4657" s="1" t="s">
        <v>5135</v>
      </c>
      <c r="E4657" s="1" t="s">
        <v>5136</v>
      </c>
      <c r="F4657" s="3">
        <v>0</v>
      </c>
      <c r="G4657" s="8" t="s">
        <v>2774</v>
      </c>
      <c r="H4657" s="8" t="s">
        <v>5159</v>
      </c>
      <c r="I4657" s="3">
        <v>31</v>
      </c>
      <c r="J4657" s="3" t="s">
        <v>6467</v>
      </c>
      <c r="K4657" s="17" t="str">
        <f>HYPERLINK("http://ictvonline.org/taxonomyHistory.asp?taxnode_id=20175181","ICTVonline=20175181")</f>
        <v>ICTVonline=20175181</v>
      </c>
      <c r="L4657" s="3">
        <v>4656</v>
      </c>
    </row>
    <row r="4658" spans="1:12" x14ac:dyDescent="0.15">
      <c r="A4658" s="1" t="s">
        <v>908</v>
      </c>
      <c r="B4658" s="1" t="s">
        <v>5073</v>
      </c>
      <c r="D4658" s="1" t="s">
        <v>5135</v>
      </c>
      <c r="E4658" s="1" t="s">
        <v>5137</v>
      </c>
      <c r="F4658" s="3">
        <v>0</v>
      </c>
      <c r="G4658" s="8" t="s">
        <v>2774</v>
      </c>
      <c r="H4658" s="8" t="s">
        <v>5159</v>
      </c>
      <c r="I4658" s="3">
        <v>31</v>
      </c>
      <c r="J4658" s="3" t="s">
        <v>6467</v>
      </c>
      <c r="K4658" s="17" t="str">
        <f>HYPERLINK("http://ictvonline.org/taxonomyHistory.asp?taxnode_id=20175182","ICTVonline=20175182")</f>
        <v>ICTVonline=20175182</v>
      </c>
      <c r="L4658" s="3">
        <v>4657</v>
      </c>
    </row>
    <row r="4659" spans="1:12" x14ac:dyDescent="0.15">
      <c r="A4659" s="1" t="s">
        <v>908</v>
      </c>
      <c r="B4659" s="1" t="s">
        <v>5073</v>
      </c>
      <c r="D4659" s="1" t="s">
        <v>5135</v>
      </c>
      <c r="E4659" s="1" t="s">
        <v>5138</v>
      </c>
      <c r="F4659" s="3">
        <v>0</v>
      </c>
      <c r="G4659" s="8" t="s">
        <v>2774</v>
      </c>
      <c r="H4659" s="8" t="s">
        <v>5159</v>
      </c>
      <c r="I4659" s="3">
        <v>31</v>
      </c>
      <c r="J4659" s="3" t="s">
        <v>6467</v>
      </c>
      <c r="K4659" s="17" t="str">
        <f>HYPERLINK("http://ictvonline.org/taxonomyHistory.asp?taxnode_id=20175183","ICTVonline=20175183")</f>
        <v>ICTVonline=20175183</v>
      </c>
      <c r="L4659" s="3">
        <v>4658</v>
      </c>
    </row>
    <row r="4660" spans="1:12" x14ac:dyDescent="0.15">
      <c r="A4660" s="1" t="s">
        <v>908</v>
      </c>
      <c r="B4660" s="1" t="s">
        <v>5073</v>
      </c>
      <c r="D4660" s="1" t="s">
        <v>5135</v>
      </c>
      <c r="E4660" s="1" t="s">
        <v>5139</v>
      </c>
      <c r="F4660" s="3">
        <v>0</v>
      </c>
      <c r="G4660" s="8" t="s">
        <v>2774</v>
      </c>
      <c r="H4660" s="8" t="s">
        <v>5159</v>
      </c>
      <c r="I4660" s="3">
        <v>31</v>
      </c>
      <c r="J4660" s="3" t="s">
        <v>6467</v>
      </c>
      <c r="K4660" s="17" t="str">
        <f>HYPERLINK("http://ictvonline.org/taxonomyHistory.asp?taxnode_id=20175184","ICTVonline=20175184")</f>
        <v>ICTVonline=20175184</v>
      </c>
      <c r="L4660" s="3">
        <v>4659</v>
      </c>
    </row>
    <row r="4661" spans="1:12" x14ac:dyDescent="0.15">
      <c r="A4661" s="1" t="s">
        <v>908</v>
      </c>
      <c r="B4661" s="1" t="s">
        <v>5073</v>
      </c>
      <c r="D4661" s="1" t="s">
        <v>5135</v>
      </c>
      <c r="E4661" s="1" t="s">
        <v>5140</v>
      </c>
      <c r="F4661" s="3">
        <v>0</v>
      </c>
      <c r="G4661" s="8" t="s">
        <v>2774</v>
      </c>
      <c r="H4661" s="8" t="s">
        <v>5159</v>
      </c>
      <c r="I4661" s="3">
        <v>31</v>
      </c>
      <c r="J4661" s="3" t="s">
        <v>6467</v>
      </c>
      <c r="K4661" s="17" t="str">
        <f>HYPERLINK("http://ictvonline.org/taxonomyHistory.asp?taxnode_id=20175185","ICTVonline=20175185")</f>
        <v>ICTVonline=20175185</v>
      </c>
      <c r="L4661" s="3">
        <v>4660</v>
      </c>
    </row>
    <row r="4662" spans="1:12" x14ac:dyDescent="0.15">
      <c r="A4662" s="1" t="s">
        <v>908</v>
      </c>
      <c r="B4662" s="1" t="s">
        <v>5073</v>
      </c>
      <c r="D4662" s="1" t="s">
        <v>5135</v>
      </c>
      <c r="E4662" s="1" t="s">
        <v>5141</v>
      </c>
      <c r="F4662" s="3">
        <v>0</v>
      </c>
      <c r="G4662" s="8" t="s">
        <v>2774</v>
      </c>
      <c r="H4662" s="8" t="s">
        <v>5159</v>
      </c>
      <c r="I4662" s="3">
        <v>31</v>
      </c>
      <c r="J4662" s="3" t="s">
        <v>6467</v>
      </c>
      <c r="K4662" s="17" t="str">
        <f>HYPERLINK("http://ictvonline.org/taxonomyHistory.asp?taxnode_id=20175186","ICTVonline=20175186")</f>
        <v>ICTVonline=20175186</v>
      </c>
      <c r="L4662" s="3">
        <v>4661</v>
      </c>
    </row>
    <row r="4663" spans="1:12" x14ac:dyDescent="0.15">
      <c r="A4663" s="1" t="s">
        <v>908</v>
      </c>
      <c r="B4663" s="1" t="s">
        <v>5073</v>
      </c>
      <c r="D4663" s="1" t="s">
        <v>5135</v>
      </c>
      <c r="E4663" s="1" t="s">
        <v>5142</v>
      </c>
      <c r="F4663" s="3">
        <v>0</v>
      </c>
      <c r="G4663" s="8" t="s">
        <v>2774</v>
      </c>
      <c r="H4663" s="8" t="s">
        <v>5159</v>
      </c>
      <c r="I4663" s="3">
        <v>31</v>
      </c>
      <c r="J4663" s="3" t="s">
        <v>6467</v>
      </c>
      <c r="K4663" s="17" t="str">
        <f>HYPERLINK("http://ictvonline.org/taxonomyHistory.asp?taxnode_id=20175187","ICTVonline=20175187")</f>
        <v>ICTVonline=20175187</v>
      </c>
      <c r="L4663" s="3">
        <v>4662</v>
      </c>
    </row>
    <row r="4664" spans="1:12" x14ac:dyDescent="0.15">
      <c r="A4664" s="1" t="s">
        <v>908</v>
      </c>
      <c r="B4664" s="1" t="s">
        <v>5073</v>
      </c>
      <c r="D4664" s="1" t="s">
        <v>5135</v>
      </c>
      <c r="E4664" s="1" t="s">
        <v>5143</v>
      </c>
      <c r="F4664" s="3">
        <v>0</v>
      </c>
      <c r="G4664" s="8" t="s">
        <v>2774</v>
      </c>
      <c r="H4664" s="8" t="s">
        <v>5159</v>
      </c>
      <c r="I4664" s="3">
        <v>31</v>
      </c>
      <c r="J4664" s="3" t="s">
        <v>6467</v>
      </c>
      <c r="K4664" s="17" t="str">
        <f>HYPERLINK("http://ictvonline.org/taxonomyHistory.asp?taxnode_id=20175188","ICTVonline=20175188")</f>
        <v>ICTVonline=20175188</v>
      </c>
      <c r="L4664" s="3">
        <v>4663</v>
      </c>
    </row>
    <row r="4665" spans="1:12" x14ac:dyDescent="0.15">
      <c r="A4665" s="1" t="s">
        <v>908</v>
      </c>
      <c r="B4665" s="1" t="s">
        <v>5073</v>
      </c>
      <c r="D4665" s="1" t="s">
        <v>5135</v>
      </c>
      <c r="E4665" s="1" t="s">
        <v>5144</v>
      </c>
      <c r="F4665" s="3">
        <v>1</v>
      </c>
      <c r="G4665" s="8" t="s">
        <v>2774</v>
      </c>
      <c r="H4665" s="8" t="s">
        <v>5159</v>
      </c>
      <c r="I4665" s="3">
        <v>31</v>
      </c>
      <c r="J4665" s="3" t="s">
        <v>6467</v>
      </c>
      <c r="K4665" s="17" t="str">
        <f>HYPERLINK("http://ictvonline.org/taxonomyHistory.asp?taxnode_id=20175189","ICTVonline=20175189")</f>
        <v>ICTVonline=20175189</v>
      </c>
      <c r="L4665" s="3">
        <v>4664</v>
      </c>
    </row>
    <row r="4666" spans="1:12" x14ac:dyDescent="0.15">
      <c r="A4666" s="1" t="s">
        <v>908</v>
      </c>
      <c r="B4666" s="1" t="s">
        <v>5073</v>
      </c>
      <c r="D4666" s="1" t="s">
        <v>5135</v>
      </c>
      <c r="E4666" s="1" t="s">
        <v>5145</v>
      </c>
      <c r="F4666" s="3">
        <v>0</v>
      </c>
      <c r="G4666" s="8" t="s">
        <v>2774</v>
      </c>
      <c r="H4666" s="8" t="s">
        <v>5159</v>
      </c>
      <c r="I4666" s="3">
        <v>31</v>
      </c>
      <c r="J4666" s="3" t="s">
        <v>6467</v>
      </c>
      <c r="K4666" s="17" t="str">
        <f>HYPERLINK("http://ictvonline.org/taxonomyHistory.asp?taxnode_id=20175190","ICTVonline=20175190")</f>
        <v>ICTVonline=20175190</v>
      </c>
      <c r="L4666" s="3">
        <v>4665</v>
      </c>
    </row>
    <row r="4667" spans="1:12" x14ac:dyDescent="0.15">
      <c r="A4667" s="1" t="s">
        <v>908</v>
      </c>
      <c r="B4667" s="1" t="s">
        <v>5073</v>
      </c>
      <c r="D4667" s="1" t="s">
        <v>5135</v>
      </c>
      <c r="E4667" s="1" t="s">
        <v>5146</v>
      </c>
      <c r="F4667" s="3">
        <v>0</v>
      </c>
      <c r="G4667" s="8" t="s">
        <v>2774</v>
      </c>
      <c r="H4667" s="8" t="s">
        <v>5159</v>
      </c>
      <c r="I4667" s="3">
        <v>31</v>
      </c>
      <c r="J4667" s="3" t="s">
        <v>6467</v>
      </c>
      <c r="K4667" s="17" t="str">
        <f>HYPERLINK("http://ictvonline.org/taxonomyHistory.asp?taxnode_id=20175191","ICTVonline=20175191")</f>
        <v>ICTVonline=20175191</v>
      </c>
      <c r="L4667" s="3">
        <v>4666</v>
      </c>
    </row>
    <row r="4668" spans="1:12" x14ac:dyDescent="0.15">
      <c r="A4668" s="1" t="s">
        <v>908</v>
      </c>
      <c r="B4668" s="1" t="s">
        <v>785</v>
      </c>
      <c r="D4668" s="1" t="s">
        <v>4162</v>
      </c>
      <c r="E4668" s="1" t="s">
        <v>792</v>
      </c>
      <c r="F4668" s="3">
        <v>0</v>
      </c>
      <c r="G4668" s="8" t="s">
        <v>2773</v>
      </c>
      <c r="H4668" s="8" t="s">
        <v>5161</v>
      </c>
      <c r="I4668" s="3">
        <v>30</v>
      </c>
      <c r="J4668" s="3" t="s">
        <v>6469</v>
      </c>
      <c r="K4668" s="17" t="str">
        <f>HYPERLINK("http://ictvonline.org/taxonomyHistory.asp?taxnode_id=20175195","ICTVonline=20175195")</f>
        <v>ICTVonline=20175195</v>
      </c>
      <c r="L4668" s="3">
        <v>4667</v>
      </c>
    </row>
    <row r="4669" spans="1:12" x14ac:dyDescent="0.15">
      <c r="A4669" s="1" t="s">
        <v>908</v>
      </c>
      <c r="B4669" s="1" t="s">
        <v>785</v>
      </c>
      <c r="D4669" s="1" t="s">
        <v>4162</v>
      </c>
      <c r="E4669" s="1" t="s">
        <v>206</v>
      </c>
      <c r="F4669" s="3">
        <v>0</v>
      </c>
      <c r="G4669" s="8" t="s">
        <v>2773</v>
      </c>
      <c r="H4669" s="8" t="s">
        <v>5161</v>
      </c>
      <c r="I4669" s="3">
        <v>30</v>
      </c>
      <c r="J4669" s="3" t="s">
        <v>6469</v>
      </c>
      <c r="K4669" s="17" t="str">
        <f>HYPERLINK("http://ictvonline.org/taxonomyHistory.asp?taxnode_id=20175196","ICTVonline=20175196")</f>
        <v>ICTVonline=20175196</v>
      </c>
      <c r="L4669" s="3">
        <v>4668</v>
      </c>
    </row>
    <row r="4670" spans="1:12" x14ac:dyDescent="0.15">
      <c r="A4670" s="1" t="s">
        <v>908</v>
      </c>
      <c r="B4670" s="1" t="s">
        <v>785</v>
      </c>
      <c r="D4670" s="1" t="s">
        <v>4162</v>
      </c>
      <c r="E4670" s="1" t="s">
        <v>795</v>
      </c>
      <c r="F4670" s="3">
        <v>1</v>
      </c>
      <c r="G4670" s="8" t="s">
        <v>2773</v>
      </c>
      <c r="H4670" s="8" t="s">
        <v>5161</v>
      </c>
      <c r="I4670" s="3">
        <v>30</v>
      </c>
      <c r="J4670" s="3" t="s">
        <v>6469</v>
      </c>
      <c r="K4670" s="17" t="str">
        <f>HYPERLINK("http://ictvonline.org/taxonomyHistory.asp?taxnode_id=20175197","ICTVonline=20175197")</f>
        <v>ICTVonline=20175197</v>
      </c>
      <c r="L4670" s="3">
        <v>4669</v>
      </c>
    </row>
    <row r="4671" spans="1:12" x14ac:dyDescent="0.15">
      <c r="A4671" s="1" t="s">
        <v>908</v>
      </c>
      <c r="B4671" s="1" t="s">
        <v>785</v>
      </c>
      <c r="D4671" s="1" t="s">
        <v>4162</v>
      </c>
      <c r="E4671" s="1" t="s">
        <v>207</v>
      </c>
      <c r="F4671" s="3">
        <v>0</v>
      </c>
      <c r="G4671" s="8" t="s">
        <v>2773</v>
      </c>
      <c r="H4671" s="8" t="s">
        <v>5161</v>
      </c>
      <c r="I4671" s="3">
        <v>30</v>
      </c>
      <c r="J4671" s="3" t="s">
        <v>6469</v>
      </c>
      <c r="K4671" s="17" t="str">
        <f>HYPERLINK("http://ictvonline.org/taxonomyHistory.asp?taxnode_id=20175198","ICTVonline=20175198")</f>
        <v>ICTVonline=20175198</v>
      </c>
      <c r="L4671" s="3">
        <v>4670</v>
      </c>
    </row>
    <row r="4672" spans="1:12" x14ac:dyDescent="0.15">
      <c r="A4672" s="1" t="s">
        <v>908</v>
      </c>
      <c r="B4672" s="1" t="s">
        <v>785</v>
      </c>
      <c r="D4672" s="1" t="s">
        <v>4162</v>
      </c>
      <c r="E4672" s="1" t="s">
        <v>565</v>
      </c>
      <c r="F4672" s="3">
        <v>0</v>
      </c>
      <c r="G4672" s="8" t="s">
        <v>2773</v>
      </c>
      <c r="H4672" s="8" t="s">
        <v>5161</v>
      </c>
      <c r="I4672" s="3">
        <v>30</v>
      </c>
      <c r="J4672" s="3" t="s">
        <v>6469</v>
      </c>
      <c r="K4672" s="17" t="str">
        <f>HYPERLINK("http://ictvonline.org/taxonomyHistory.asp?taxnode_id=20175199","ICTVonline=20175199")</f>
        <v>ICTVonline=20175199</v>
      </c>
      <c r="L4672" s="3">
        <v>4671</v>
      </c>
    </row>
    <row r="4673" spans="1:12" x14ac:dyDescent="0.15">
      <c r="A4673" s="1" t="s">
        <v>908</v>
      </c>
      <c r="B4673" s="1" t="s">
        <v>785</v>
      </c>
      <c r="D4673" s="1" t="s">
        <v>4162</v>
      </c>
      <c r="E4673" s="1" t="s">
        <v>1278</v>
      </c>
      <c r="F4673" s="3">
        <v>0</v>
      </c>
      <c r="G4673" s="8" t="s">
        <v>2773</v>
      </c>
      <c r="H4673" s="8" t="s">
        <v>5161</v>
      </c>
      <c r="I4673" s="3">
        <v>30</v>
      </c>
      <c r="J4673" s="3" t="s">
        <v>6469</v>
      </c>
      <c r="K4673" s="17" t="str">
        <f>HYPERLINK("http://ictvonline.org/taxonomyHistory.asp?taxnode_id=20175200","ICTVonline=20175200")</f>
        <v>ICTVonline=20175200</v>
      </c>
      <c r="L4673" s="3">
        <v>4672</v>
      </c>
    </row>
    <row r="4674" spans="1:12" x14ac:dyDescent="0.15">
      <c r="A4674" s="1" t="s">
        <v>908</v>
      </c>
      <c r="B4674" s="1" t="s">
        <v>785</v>
      </c>
      <c r="D4674" s="1" t="s">
        <v>4162</v>
      </c>
      <c r="E4674" s="1" t="s">
        <v>1279</v>
      </c>
      <c r="F4674" s="3">
        <v>0</v>
      </c>
      <c r="G4674" s="8" t="s">
        <v>2773</v>
      </c>
      <c r="H4674" s="8" t="s">
        <v>5161</v>
      </c>
      <c r="I4674" s="3">
        <v>30</v>
      </c>
      <c r="J4674" s="3" t="s">
        <v>6469</v>
      </c>
      <c r="K4674" s="17" t="str">
        <f>HYPERLINK("http://ictvonline.org/taxonomyHistory.asp?taxnode_id=20175201","ICTVonline=20175201")</f>
        <v>ICTVonline=20175201</v>
      </c>
      <c r="L4674" s="3">
        <v>4673</v>
      </c>
    </row>
    <row r="4675" spans="1:12" x14ac:dyDescent="0.15">
      <c r="A4675" s="1" t="s">
        <v>908</v>
      </c>
      <c r="B4675" s="1" t="s">
        <v>785</v>
      </c>
      <c r="D4675" s="1" t="s">
        <v>2295</v>
      </c>
      <c r="E4675" s="1" t="s">
        <v>877</v>
      </c>
      <c r="F4675" s="3">
        <v>0</v>
      </c>
      <c r="G4675" s="8" t="s">
        <v>2773</v>
      </c>
      <c r="H4675" s="8" t="s">
        <v>5161</v>
      </c>
      <c r="I4675" s="3">
        <v>27</v>
      </c>
      <c r="J4675" s="3" t="s">
        <v>6470</v>
      </c>
      <c r="K4675" s="17" t="str">
        <f>HYPERLINK("http://ictvonline.org/taxonomyHistory.asp?taxnode_id=20175203","ICTVonline=20175203")</f>
        <v>ICTVonline=20175203</v>
      </c>
      <c r="L4675" s="3">
        <v>4674</v>
      </c>
    </row>
    <row r="4676" spans="1:12" x14ac:dyDescent="0.15">
      <c r="A4676" s="1" t="s">
        <v>908</v>
      </c>
      <c r="B4676" s="1" t="s">
        <v>785</v>
      </c>
      <c r="D4676" s="1" t="s">
        <v>2295</v>
      </c>
      <c r="E4676" s="1" t="s">
        <v>878</v>
      </c>
      <c r="F4676" s="3">
        <v>0</v>
      </c>
      <c r="G4676" s="8" t="s">
        <v>2773</v>
      </c>
      <c r="H4676" s="8" t="s">
        <v>5161</v>
      </c>
      <c r="I4676" s="3">
        <v>27</v>
      </c>
      <c r="J4676" s="3" t="s">
        <v>6470</v>
      </c>
      <c r="K4676" s="17" t="str">
        <f>HYPERLINK("http://ictvonline.org/taxonomyHistory.asp?taxnode_id=20175204","ICTVonline=20175204")</f>
        <v>ICTVonline=20175204</v>
      </c>
      <c r="L4676" s="3">
        <v>4675</v>
      </c>
    </row>
    <row r="4677" spans="1:12" x14ac:dyDescent="0.15">
      <c r="A4677" s="1" t="s">
        <v>908</v>
      </c>
      <c r="B4677" s="1" t="s">
        <v>785</v>
      </c>
      <c r="D4677" s="1" t="s">
        <v>2295</v>
      </c>
      <c r="E4677" s="1" t="s">
        <v>879</v>
      </c>
      <c r="F4677" s="3">
        <v>1</v>
      </c>
      <c r="G4677" s="8" t="s">
        <v>2773</v>
      </c>
      <c r="H4677" s="8" t="s">
        <v>5161</v>
      </c>
      <c r="I4677" s="3">
        <v>27</v>
      </c>
      <c r="J4677" s="3" t="s">
        <v>6470</v>
      </c>
      <c r="K4677" s="17" t="str">
        <f>HYPERLINK("http://ictvonline.org/taxonomyHistory.asp?taxnode_id=20175205","ICTVonline=20175205")</f>
        <v>ICTVonline=20175205</v>
      </c>
      <c r="L4677" s="3">
        <v>4676</v>
      </c>
    </row>
    <row r="4678" spans="1:12" x14ac:dyDescent="0.15">
      <c r="A4678" s="1" t="s">
        <v>908</v>
      </c>
      <c r="B4678" s="1" t="s">
        <v>785</v>
      </c>
      <c r="D4678" s="1" t="s">
        <v>786</v>
      </c>
      <c r="E4678" s="1" t="s">
        <v>787</v>
      </c>
      <c r="F4678" s="3">
        <v>0</v>
      </c>
      <c r="G4678" s="8" t="s">
        <v>2773</v>
      </c>
      <c r="H4678" s="8" t="s">
        <v>5159</v>
      </c>
      <c r="I4678" s="3">
        <v>23</v>
      </c>
      <c r="J4678" s="3" t="s">
        <v>6020</v>
      </c>
      <c r="K4678" s="17" t="str">
        <f>HYPERLINK("http://ictvonline.org/taxonomyHistory.asp?taxnode_id=20175207","ICTVonline=20175207")</f>
        <v>ICTVonline=20175207</v>
      </c>
      <c r="L4678" s="3">
        <v>4677</v>
      </c>
    </row>
    <row r="4679" spans="1:12" x14ac:dyDescent="0.15">
      <c r="A4679" s="1" t="s">
        <v>908</v>
      </c>
      <c r="B4679" s="1" t="s">
        <v>785</v>
      </c>
      <c r="D4679" s="1" t="s">
        <v>786</v>
      </c>
      <c r="E4679" s="1" t="s">
        <v>2140</v>
      </c>
      <c r="F4679" s="3">
        <v>0</v>
      </c>
      <c r="G4679" s="8" t="s">
        <v>2773</v>
      </c>
      <c r="H4679" s="8" t="s">
        <v>5159</v>
      </c>
      <c r="I4679" s="3">
        <v>25</v>
      </c>
      <c r="J4679" s="3" t="s">
        <v>6471</v>
      </c>
      <c r="K4679" s="17" t="str">
        <f>HYPERLINK("http://ictvonline.org/taxonomyHistory.asp?taxnode_id=20175208","ICTVonline=20175208")</f>
        <v>ICTVonline=20175208</v>
      </c>
      <c r="L4679" s="3">
        <v>4678</v>
      </c>
    </row>
    <row r="4680" spans="1:12" x14ac:dyDescent="0.15">
      <c r="A4680" s="1" t="s">
        <v>908</v>
      </c>
      <c r="B4680" s="1" t="s">
        <v>785</v>
      </c>
      <c r="D4680" s="1" t="s">
        <v>786</v>
      </c>
      <c r="E4680" s="1" t="s">
        <v>1907</v>
      </c>
      <c r="F4680" s="3">
        <v>0</v>
      </c>
      <c r="G4680" s="8" t="s">
        <v>2773</v>
      </c>
      <c r="H4680" s="8" t="s">
        <v>5159</v>
      </c>
      <c r="I4680" s="3">
        <v>25</v>
      </c>
      <c r="J4680" s="3" t="s">
        <v>6471</v>
      </c>
      <c r="K4680" s="17" t="str">
        <f>HYPERLINK("http://ictvonline.org/taxonomyHistory.asp?taxnode_id=20175209","ICTVonline=20175209")</f>
        <v>ICTVonline=20175209</v>
      </c>
      <c r="L4680" s="3">
        <v>4679</v>
      </c>
    </row>
    <row r="4681" spans="1:12" x14ac:dyDescent="0.15">
      <c r="A4681" s="1" t="s">
        <v>908</v>
      </c>
      <c r="B4681" s="1" t="s">
        <v>785</v>
      </c>
      <c r="D4681" s="1" t="s">
        <v>786</v>
      </c>
      <c r="E4681" s="1" t="s">
        <v>788</v>
      </c>
      <c r="F4681" s="3">
        <v>1</v>
      </c>
      <c r="G4681" s="8" t="s">
        <v>2773</v>
      </c>
      <c r="H4681" s="8" t="s">
        <v>5164</v>
      </c>
      <c r="I4681" s="3">
        <v>17</v>
      </c>
      <c r="J4681" s="3" t="s">
        <v>5970</v>
      </c>
      <c r="K4681" s="17" t="str">
        <f>HYPERLINK("http://ictvonline.org/taxonomyHistory.asp?taxnode_id=20175210","ICTVonline=20175210")</f>
        <v>ICTVonline=20175210</v>
      </c>
      <c r="L4681" s="3">
        <v>4680</v>
      </c>
    </row>
    <row r="4682" spans="1:12" x14ac:dyDescent="0.15">
      <c r="A4682" s="1" t="s">
        <v>908</v>
      </c>
      <c r="B4682" s="1" t="s">
        <v>785</v>
      </c>
      <c r="D4682" s="1" t="s">
        <v>786</v>
      </c>
      <c r="E4682" s="1" t="s">
        <v>4163</v>
      </c>
      <c r="F4682" s="3">
        <v>0</v>
      </c>
      <c r="G4682" s="8" t="s">
        <v>2773</v>
      </c>
      <c r="H4682" s="8" t="s">
        <v>5159</v>
      </c>
      <c r="I4682" s="3">
        <v>30</v>
      </c>
      <c r="J4682" s="3" t="s">
        <v>6472</v>
      </c>
      <c r="K4682" s="17" t="str">
        <f>HYPERLINK("http://ictvonline.org/taxonomyHistory.asp?taxnode_id=20175211","ICTVonline=20175211")</f>
        <v>ICTVonline=20175211</v>
      </c>
      <c r="L4682" s="3">
        <v>4681</v>
      </c>
    </row>
    <row r="4683" spans="1:12" x14ac:dyDescent="0.15">
      <c r="A4683" s="1" t="s">
        <v>908</v>
      </c>
      <c r="B4683" s="1" t="s">
        <v>785</v>
      </c>
      <c r="D4683" s="1" t="s">
        <v>789</v>
      </c>
      <c r="E4683" s="1" t="s">
        <v>790</v>
      </c>
      <c r="F4683" s="3">
        <v>1</v>
      </c>
      <c r="G4683" s="8" t="s">
        <v>2773</v>
      </c>
      <c r="H4683" s="8" t="s">
        <v>5164</v>
      </c>
      <c r="I4683" s="3">
        <v>17</v>
      </c>
      <c r="J4683" s="3" t="s">
        <v>5970</v>
      </c>
      <c r="K4683" s="17" t="str">
        <f>HYPERLINK("http://ictvonline.org/taxonomyHistory.asp?taxnode_id=20175213","ICTVonline=20175213")</f>
        <v>ICTVonline=20175213</v>
      </c>
      <c r="L4683" s="3">
        <v>4682</v>
      </c>
    </row>
    <row r="4684" spans="1:12" x14ac:dyDescent="0.15">
      <c r="A4684" s="1" t="s">
        <v>908</v>
      </c>
      <c r="B4684" s="1" t="s">
        <v>785</v>
      </c>
      <c r="D4684" s="1" t="s">
        <v>4164</v>
      </c>
      <c r="E4684" s="1" t="s">
        <v>794</v>
      </c>
      <c r="F4684" s="3">
        <v>0</v>
      </c>
      <c r="G4684" s="8" t="s">
        <v>2773</v>
      </c>
      <c r="H4684" s="8" t="s">
        <v>5161</v>
      </c>
      <c r="I4684" s="3">
        <v>30</v>
      </c>
      <c r="J4684" s="3" t="s">
        <v>6469</v>
      </c>
      <c r="K4684" s="17" t="str">
        <f>HYPERLINK("http://ictvonline.org/taxonomyHistory.asp?taxnode_id=20175215","ICTVonline=20175215")</f>
        <v>ICTVonline=20175215</v>
      </c>
      <c r="L4684" s="3">
        <v>4683</v>
      </c>
    </row>
    <row r="4685" spans="1:12" x14ac:dyDescent="0.15">
      <c r="A4685" s="1" t="s">
        <v>908</v>
      </c>
      <c r="B4685" s="1" t="s">
        <v>785</v>
      </c>
      <c r="D4685" s="1" t="s">
        <v>4164</v>
      </c>
      <c r="E4685" s="1" t="s">
        <v>1399</v>
      </c>
      <c r="F4685" s="3">
        <v>0</v>
      </c>
      <c r="G4685" s="8" t="s">
        <v>2773</v>
      </c>
      <c r="H4685" s="8" t="s">
        <v>5161</v>
      </c>
      <c r="I4685" s="3">
        <v>30</v>
      </c>
      <c r="J4685" s="3" t="s">
        <v>6469</v>
      </c>
      <c r="K4685" s="17" t="str">
        <f>HYPERLINK("http://ictvonline.org/taxonomyHistory.asp?taxnode_id=20175216","ICTVonline=20175216")</f>
        <v>ICTVonline=20175216</v>
      </c>
      <c r="L4685" s="3">
        <v>4684</v>
      </c>
    </row>
    <row r="4686" spans="1:12" x14ac:dyDescent="0.15">
      <c r="A4686" s="1" t="s">
        <v>908</v>
      </c>
      <c r="B4686" s="1" t="s">
        <v>785</v>
      </c>
      <c r="D4686" s="1" t="s">
        <v>4164</v>
      </c>
      <c r="E4686" s="1" t="s">
        <v>684</v>
      </c>
      <c r="F4686" s="3">
        <v>0</v>
      </c>
      <c r="G4686" s="8" t="s">
        <v>2773</v>
      </c>
      <c r="H4686" s="8" t="s">
        <v>5161</v>
      </c>
      <c r="I4686" s="3">
        <v>30</v>
      </c>
      <c r="J4686" s="3" t="s">
        <v>6469</v>
      </c>
      <c r="K4686" s="17" t="str">
        <f>HYPERLINK("http://ictvonline.org/taxonomyHistory.asp?taxnode_id=20175217","ICTVonline=20175217")</f>
        <v>ICTVonline=20175217</v>
      </c>
      <c r="L4686" s="3">
        <v>4685</v>
      </c>
    </row>
    <row r="4687" spans="1:12" x14ac:dyDescent="0.15">
      <c r="A4687" s="1" t="s">
        <v>908</v>
      </c>
      <c r="B4687" s="1" t="s">
        <v>785</v>
      </c>
      <c r="D4687" s="1" t="s">
        <v>4164</v>
      </c>
      <c r="E4687" s="1" t="s">
        <v>1280</v>
      </c>
      <c r="F4687" s="3">
        <v>1</v>
      </c>
      <c r="G4687" s="8" t="s">
        <v>2773</v>
      </c>
      <c r="H4687" s="8" t="s">
        <v>5161</v>
      </c>
      <c r="I4687" s="3">
        <v>30</v>
      </c>
      <c r="J4687" s="3" t="s">
        <v>6469</v>
      </c>
      <c r="K4687" s="17" t="str">
        <f>HYPERLINK("http://ictvonline.org/taxonomyHistory.asp?taxnode_id=20175218","ICTVonline=20175218")</f>
        <v>ICTVonline=20175218</v>
      </c>
      <c r="L4687" s="3">
        <v>4686</v>
      </c>
    </row>
    <row r="4688" spans="1:12" x14ac:dyDescent="0.15">
      <c r="A4688" s="1" t="s">
        <v>908</v>
      </c>
      <c r="B4688" s="1" t="s">
        <v>785</v>
      </c>
      <c r="D4688" s="1" t="s">
        <v>2296</v>
      </c>
      <c r="E4688" s="1" t="s">
        <v>874</v>
      </c>
      <c r="F4688" s="3">
        <v>0</v>
      </c>
      <c r="G4688" s="8" t="s">
        <v>2773</v>
      </c>
      <c r="H4688" s="8" t="s">
        <v>5161</v>
      </c>
      <c r="I4688" s="3">
        <v>27</v>
      </c>
      <c r="J4688" s="3" t="s">
        <v>6470</v>
      </c>
      <c r="K4688" s="17" t="str">
        <f>HYPERLINK("http://ictvonline.org/taxonomyHistory.asp?taxnode_id=20175220","ICTVonline=20175220")</f>
        <v>ICTVonline=20175220</v>
      </c>
      <c r="L4688" s="3">
        <v>4687</v>
      </c>
    </row>
    <row r="4689" spans="1:12" x14ac:dyDescent="0.15">
      <c r="A4689" s="1" t="s">
        <v>908</v>
      </c>
      <c r="B4689" s="1" t="s">
        <v>785</v>
      </c>
      <c r="D4689" s="1" t="s">
        <v>2296</v>
      </c>
      <c r="E4689" s="1" t="s">
        <v>876</v>
      </c>
      <c r="F4689" s="3">
        <v>0</v>
      </c>
      <c r="G4689" s="8" t="s">
        <v>2773</v>
      </c>
      <c r="H4689" s="8" t="s">
        <v>5161</v>
      </c>
      <c r="I4689" s="3">
        <v>27</v>
      </c>
      <c r="J4689" s="3" t="s">
        <v>6470</v>
      </c>
      <c r="K4689" s="17" t="str">
        <f>HYPERLINK("http://ictvonline.org/taxonomyHistory.asp?taxnode_id=20175221","ICTVonline=20175221")</f>
        <v>ICTVonline=20175221</v>
      </c>
      <c r="L4689" s="3">
        <v>4688</v>
      </c>
    </row>
    <row r="4690" spans="1:12" x14ac:dyDescent="0.15">
      <c r="A4690" s="1" t="s">
        <v>908</v>
      </c>
      <c r="B4690" s="1" t="s">
        <v>785</v>
      </c>
      <c r="D4690" s="1" t="s">
        <v>2296</v>
      </c>
      <c r="E4690" s="1" t="s">
        <v>1912</v>
      </c>
      <c r="F4690" s="3">
        <v>1</v>
      </c>
      <c r="G4690" s="8" t="s">
        <v>2773</v>
      </c>
      <c r="H4690" s="8" t="s">
        <v>5165</v>
      </c>
      <c r="I4690" s="3">
        <v>27</v>
      </c>
      <c r="J4690" s="3" t="s">
        <v>6470</v>
      </c>
      <c r="K4690" s="17" t="str">
        <f>HYPERLINK("http://ictvonline.org/taxonomyHistory.asp?taxnode_id=20175222","ICTVonline=20175222")</f>
        <v>ICTVonline=20175222</v>
      </c>
      <c r="L4690" s="3">
        <v>4689</v>
      </c>
    </row>
    <row r="4691" spans="1:12" x14ac:dyDescent="0.15">
      <c r="A4691" s="1" t="s">
        <v>908</v>
      </c>
      <c r="B4691" s="1" t="s">
        <v>785</v>
      </c>
      <c r="D4691" s="1" t="s">
        <v>1282</v>
      </c>
      <c r="E4691" s="1" t="s">
        <v>1283</v>
      </c>
      <c r="F4691" s="3">
        <v>1</v>
      </c>
      <c r="G4691" s="8" t="s">
        <v>2773</v>
      </c>
      <c r="H4691" s="8" t="s">
        <v>5161</v>
      </c>
      <c r="I4691" s="3">
        <v>15</v>
      </c>
      <c r="J4691" s="3" t="s">
        <v>6055</v>
      </c>
      <c r="K4691" s="17" t="str">
        <f>HYPERLINK("http://ictvonline.org/taxonomyHistory.asp?taxnode_id=20175224","ICTVonline=20175224")</f>
        <v>ICTVonline=20175224</v>
      </c>
      <c r="L4691" s="3">
        <v>4690</v>
      </c>
    </row>
    <row r="4692" spans="1:12" x14ac:dyDescent="0.15">
      <c r="A4692" s="1" t="s">
        <v>908</v>
      </c>
      <c r="B4692" s="1" t="s">
        <v>785</v>
      </c>
      <c r="D4692" s="1" t="s">
        <v>1282</v>
      </c>
      <c r="E4692" s="1" t="s">
        <v>1284</v>
      </c>
      <c r="F4692" s="3">
        <v>0</v>
      </c>
      <c r="G4692" s="8" t="s">
        <v>2773</v>
      </c>
      <c r="H4692" s="8" t="s">
        <v>5161</v>
      </c>
      <c r="I4692" s="3">
        <v>15</v>
      </c>
      <c r="J4692" s="3" t="s">
        <v>6055</v>
      </c>
      <c r="K4692" s="17" t="str">
        <f>HYPERLINK("http://ictvonline.org/taxonomyHistory.asp?taxnode_id=20175225","ICTVonline=20175225")</f>
        <v>ICTVonline=20175225</v>
      </c>
      <c r="L4692" s="3">
        <v>4691</v>
      </c>
    </row>
    <row r="4693" spans="1:12" x14ac:dyDescent="0.15">
      <c r="A4693" s="1" t="s">
        <v>908</v>
      </c>
      <c r="B4693" s="1" t="s">
        <v>785</v>
      </c>
      <c r="D4693" s="1" t="s">
        <v>1282</v>
      </c>
      <c r="E4693" s="1" t="s">
        <v>1285</v>
      </c>
      <c r="F4693" s="3">
        <v>0</v>
      </c>
      <c r="G4693" s="8" t="s">
        <v>2773</v>
      </c>
      <c r="H4693" s="8" t="s">
        <v>5161</v>
      </c>
      <c r="I4693" s="3">
        <v>15</v>
      </c>
      <c r="J4693" s="3" t="s">
        <v>6055</v>
      </c>
      <c r="K4693" s="17" t="str">
        <f>HYPERLINK("http://ictvonline.org/taxonomyHistory.asp?taxnode_id=20175226","ICTVonline=20175226")</f>
        <v>ICTVonline=20175226</v>
      </c>
      <c r="L4693" s="3">
        <v>4692</v>
      </c>
    </row>
    <row r="4694" spans="1:12" x14ac:dyDescent="0.15">
      <c r="A4694" s="1" t="s">
        <v>908</v>
      </c>
      <c r="B4694" s="1" t="s">
        <v>785</v>
      </c>
      <c r="D4694" s="1" t="s">
        <v>2297</v>
      </c>
      <c r="E4694" s="1" t="s">
        <v>1398</v>
      </c>
      <c r="F4694" s="3">
        <v>1</v>
      </c>
      <c r="G4694" s="8" t="s">
        <v>2773</v>
      </c>
      <c r="H4694" s="8" t="s">
        <v>5165</v>
      </c>
      <c r="I4694" s="3">
        <v>27</v>
      </c>
      <c r="J4694" s="3" t="s">
        <v>6473</v>
      </c>
      <c r="K4694" s="17" t="str">
        <f>HYPERLINK("http://ictvonline.org/taxonomyHistory.asp?taxnode_id=20175228","ICTVonline=20175228")</f>
        <v>ICTVonline=20175228</v>
      </c>
      <c r="L4694" s="3">
        <v>4693</v>
      </c>
    </row>
    <row r="4695" spans="1:12" x14ac:dyDescent="0.15">
      <c r="A4695" s="1" t="s">
        <v>908</v>
      </c>
      <c r="B4695" s="1" t="s">
        <v>785</v>
      </c>
      <c r="D4695" s="1" t="s">
        <v>4165</v>
      </c>
      <c r="E4695" s="1" t="s">
        <v>1396</v>
      </c>
      <c r="F4695" s="3">
        <v>0</v>
      </c>
      <c r="G4695" s="8" t="s">
        <v>2773</v>
      </c>
      <c r="H4695" s="8" t="s">
        <v>5161</v>
      </c>
      <c r="I4695" s="3">
        <v>30</v>
      </c>
      <c r="J4695" s="3" t="s">
        <v>6469</v>
      </c>
      <c r="K4695" s="17" t="str">
        <f>HYPERLINK("http://ictvonline.org/taxonomyHistory.asp?taxnode_id=20175230","ICTVonline=20175230")</f>
        <v>ICTVonline=20175230</v>
      </c>
      <c r="L4695" s="3">
        <v>4694</v>
      </c>
    </row>
    <row r="4696" spans="1:12" x14ac:dyDescent="0.15">
      <c r="A4696" s="1" t="s">
        <v>908</v>
      </c>
      <c r="B4696" s="1" t="s">
        <v>785</v>
      </c>
      <c r="D4696" s="1" t="s">
        <v>4165</v>
      </c>
      <c r="E4696" s="1" t="s">
        <v>685</v>
      </c>
      <c r="F4696" s="3">
        <v>1</v>
      </c>
      <c r="G4696" s="8" t="s">
        <v>2773</v>
      </c>
      <c r="H4696" s="8" t="s">
        <v>5161</v>
      </c>
      <c r="I4696" s="3">
        <v>30</v>
      </c>
      <c r="J4696" s="3" t="s">
        <v>6469</v>
      </c>
      <c r="K4696" s="17" t="str">
        <f>HYPERLINK("http://ictvonline.org/taxonomyHistory.asp?taxnode_id=20175231","ICTVonline=20175231")</f>
        <v>ICTVonline=20175231</v>
      </c>
      <c r="L4696" s="3">
        <v>4695</v>
      </c>
    </row>
    <row r="4697" spans="1:12" x14ac:dyDescent="0.15">
      <c r="A4697" s="1" t="s">
        <v>908</v>
      </c>
      <c r="B4697" s="1" t="s">
        <v>785</v>
      </c>
      <c r="D4697" s="1" t="s">
        <v>4165</v>
      </c>
      <c r="E4697" s="1" t="s">
        <v>1277</v>
      </c>
      <c r="F4697" s="3">
        <v>0</v>
      </c>
      <c r="G4697" s="8" t="s">
        <v>2773</v>
      </c>
      <c r="H4697" s="8" t="s">
        <v>5161</v>
      </c>
      <c r="I4697" s="3">
        <v>30</v>
      </c>
      <c r="J4697" s="3" t="s">
        <v>6469</v>
      </c>
      <c r="K4697" s="17" t="str">
        <f>HYPERLINK("http://ictvonline.org/taxonomyHistory.asp?taxnode_id=20175232","ICTVonline=20175232")</f>
        <v>ICTVonline=20175232</v>
      </c>
      <c r="L4697" s="3">
        <v>4696</v>
      </c>
    </row>
    <row r="4698" spans="1:12" x14ac:dyDescent="0.15">
      <c r="A4698" s="1" t="s">
        <v>908</v>
      </c>
      <c r="B4698" s="1" t="s">
        <v>785</v>
      </c>
      <c r="D4698" s="1" t="s">
        <v>4165</v>
      </c>
      <c r="E4698" s="1" t="s">
        <v>208</v>
      </c>
      <c r="F4698" s="3">
        <v>0</v>
      </c>
      <c r="G4698" s="8" t="s">
        <v>2773</v>
      </c>
      <c r="H4698" s="8" t="s">
        <v>5161</v>
      </c>
      <c r="I4698" s="3">
        <v>30</v>
      </c>
      <c r="J4698" s="3" t="s">
        <v>6469</v>
      </c>
      <c r="K4698" s="17" t="str">
        <f>HYPERLINK("http://ictvonline.org/taxonomyHistory.asp?taxnode_id=20175233","ICTVonline=20175233")</f>
        <v>ICTVonline=20175233</v>
      </c>
      <c r="L4698" s="3">
        <v>4697</v>
      </c>
    </row>
    <row r="4699" spans="1:12" x14ac:dyDescent="0.15">
      <c r="A4699" s="1" t="s">
        <v>908</v>
      </c>
      <c r="B4699" s="1" t="s">
        <v>785</v>
      </c>
      <c r="D4699" s="1" t="s">
        <v>2298</v>
      </c>
      <c r="E4699" s="1" t="s">
        <v>2299</v>
      </c>
      <c r="F4699" s="3">
        <v>1</v>
      </c>
      <c r="G4699" s="8" t="s">
        <v>2773</v>
      </c>
      <c r="H4699" s="8" t="s">
        <v>5164</v>
      </c>
      <c r="I4699" s="3">
        <v>27</v>
      </c>
      <c r="J4699" s="3" t="s">
        <v>6474</v>
      </c>
      <c r="K4699" s="17" t="str">
        <f>HYPERLINK("http://ictvonline.org/taxonomyHistory.asp?taxnode_id=20175235","ICTVonline=20175235")</f>
        <v>ICTVonline=20175235</v>
      </c>
      <c r="L4699" s="3">
        <v>4698</v>
      </c>
    </row>
    <row r="4700" spans="1:12" x14ac:dyDescent="0.15">
      <c r="A4700" s="1" t="s">
        <v>908</v>
      </c>
      <c r="B4700" s="1" t="s">
        <v>785</v>
      </c>
      <c r="D4700" s="1" t="s">
        <v>1286</v>
      </c>
      <c r="E4700" s="1" t="s">
        <v>1287</v>
      </c>
      <c r="F4700" s="3">
        <v>1</v>
      </c>
      <c r="G4700" s="8" t="s">
        <v>2773</v>
      </c>
      <c r="H4700" s="8" t="s">
        <v>5161</v>
      </c>
      <c r="I4700" s="3">
        <v>15</v>
      </c>
      <c r="J4700" s="3" t="s">
        <v>6055</v>
      </c>
      <c r="K4700" s="17" t="str">
        <f>HYPERLINK("http://ictvonline.org/taxonomyHistory.asp?taxnode_id=20175237","ICTVonline=20175237")</f>
        <v>ICTVonline=20175237</v>
      </c>
      <c r="L4700" s="3">
        <v>4699</v>
      </c>
    </row>
    <row r="4701" spans="1:12" x14ac:dyDescent="0.15">
      <c r="A4701" s="1" t="s">
        <v>908</v>
      </c>
      <c r="B4701" s="1" t="s">
        <v>785</v>
      </c>
      <c r="D4701" s="1" t="s">
        <v>1913</v>
      </c>
      <c r="E4701" s="1" t="s">
        <v>209</v>
      </c>
      <c r="F4701" s="3">
        <v>0</v>
      </c>
      <c r="G4701" s="8" t="s">
        <v>2773</v>
      </c>
      <c r="H4701" s="8" t="s">
        <v>5159</v>
      </c>
      <c r="I4701" s="3">
        <v>26</v>
      </c>
      <c r="J4701" s="3" t="s">
        <v>6475</v>
      </c>
      <c r="K4701" s="17" t="str">
        <f>HYPERLINK("http://ictvonline.org/taxonomyHistory.asp?taxnode_id=20175239","ICTVonline=20175239")</f>
        <v>ICTVonline=20175239</v>
      </c>
      <c r="L4701" s="3">
        <v>4700</v>
      </c>
    </row>
    <row r="4702" spans="1:12" x14ac:dyDescent="0.15">
      <c r="A4702" s="1" t="s">
        <v>908</v>
      </c>
      <c r="B4702" s="1" t="s">
        <v>785</v>
      </c>
      <c r="D4702" s="1" t="s">
        <v>1913</v>
      </c>
      <c r="E4702" s="1" t="s">
        <v>1914</v>
      </c>
      <c r="F4702" s="3">
        <v>1</v>
      </c>
      <c r="G4702" s="8" t="s">
        <v>2773</v>
      </c>
      <c r="H4702" s="8" t="s">
        <v>5164</v>
      </c>
      <c r="I4702" s="3">
        <v>17</v>
      </c>
      <c r="J4702" s="3" t="s">
        <v>5970</v>
      </c>
      <c r="K4702" s="17" t="str">
        <f>HYPERLINK("http://ictvonline.org/taxonomyHistory.asp?taxnode_id=20175240","ICTVonline=20175240")</f>
        <v>ICTVonline=20175240</v>
      </c>
      <c r="L4702" s="3">
        <v>4701</v>
      </c>
    </row>
    <row r="4703" spans="1:12" x14ac:dyDescent="0.15">
      <c r="A4703" s="1" t="s">
        <v>908</v>
      </c>
      <c r="B4703" s="1" t="s">
        <v>785</v>
      </c>
      <c r="D4703" s="1" t="s">
        <v>1913</v>
      </c>
      <c r="E4703" s="1" t="s">
        <v>2760</v>
      </c>
      <c r="F4703" s="3">
        <v>0</v>
      </c>
      <c r="G4703" s="8" t="s">
        <v>2773</v>
      </c>
      <c r="H4703" s="8" t="s">
        <v>5159</v>
      </c>
      <c r="I4703" s="3">
        <v>29</v>
      </c>
      <c r="J4703" s="3" t="s">
        <v>6476</v>
      </c>
      <c r="K4703" s="17" t="str">
        <f>HYPERLINK("http://ictvonline.org/taxonomyHistory.asp?taxnode_id=20175241","ICTVonline=20175241")</f>
        <v>ICTVonline=20175241</v>
      </c>
      <c r="L4703" s="3">
        <v>4702</v>
      </c>
    </row>
    <row r="4704" spans="1:12" x14ac:dyDescent="0.15">
      <c r="A4704" s="1" t="s">
        <v>908</v>
      </c>
      <c r="B4704" s="1" t="s">
        <v>785</v>
      </c>
      <c r="D4704" s="1" t="s">
        <v>4166</v>
      </c>
      <c r="E4704" s="1" t="s">
        <v>2761</v>
      </c>
      <c r="F4704" s="3">
        <v>0</v>
      </c>
      <c r="G4704" s="8" t="s">
        <v>2773</v>
      </c>
      <c r="H4704" s="8" t="s">
        <v>5161</v>
      </c>
      <c r="I4704" s="3">
        <v>30</v>
      </c>
      <c r="J4704" s="3" t="s">
        <v>6477</v>
      </c>
      <c r="K4704" s="17" t="str">
        <f>HYPERLINK("http://ictvonline.org/taxonomyHistory.asp?taxnode_id=20175243","ICTVonline=20175243")</f>
        <v>ICTVonline=20175243</v>
      </c>
      <c r="L4704" s="3">
        <v>4703</v>
      </c>
    </row>
    <row r="4705" spans="1:12" x14ac:dyDescent="0.15">
      <c r="A4705" s="1" t="s">
        <v>908</v>
      </c>
      <c r="B4705" s="1" t="s">
        <v>785</v>
      </c>
      <c r="D4705" s="1" t="s">
        <v>4166</v>
      </c>
      <c r="E4705" s="1" t="s">
        <v>2762</v>
      </c>
      <c r="F4705" s="3">
        <v>0</v>
      </c>
      <c r="G4705" s="8" t="s">
        <v>2773</v>
      </c>
      <c r="H4705" s="8" t="s">
        <v>5161</v>
      </c>
      <c r="I4705" s="3">
        <v>30</v>
      </c>
      <c r="J4705" s="3" t="s">
        <v>6477</v>
      </c>
      <c r="K4705" s="17" t="str">
        <f>HYPERLINK("http://ictvonline.org/taxonomyHistory.asp?taxnode_id=20175244","ICTVonline=20175244")</f>
        <v>ICTVonline=20175244</v>
      </c>
      <c r="L4705" s="3">
        <v>4704</v>
      </c>
    </row>
    <row r="4706" spans="1:12" x14ac:dyDescent="0.15">
      <c r="A4706" s="1" t="s">
        <v>908</v>
      </c>
      <c r="B4706" s="1" t="s">
        <v>785</v>
      </c>
      <c r="D4706" s="1" t="s">
        <v>4166</v>
      </c>
      <c r="E4706" s="1" t="s">
        <v>2020</v>
      </c>
      <c r="F4706" s="3">
        <v>1</v>
      </c>
      <c r="G4706" s="8" t="s">
        <v>2773</v>
      </c>
      <c r="H4706" s="8" t="s">
        <v>5161</v>
      </c>
      <c r="I4706" s="3">
        <v>30</v>
      </c>
      <c r="J4706" s="3" t="s">
        <v>6477</v>
      </c>
      <c r="K4706" s="17" t="str">
        <f>HYPERLINK("http://ictvonline.org/taxonomyHistory.asp?taxnode_id=20175245","ICTVonline=20175245")</f>
        <v>ICTVonline=20175245</v>
      </c>
      <c r="L4706" s="3">
        <v>4705</v>
      </c>
    </row>
    <row r="4707" spans="1:12" x14ac:dyDescent="0.15">
      <c r="A4707" s="1" t="s">
        <v>908</v>
      </c>
      <c r="B4707" s="1" t="s">
        <v>785</v>
      </c>
      <c r="D4707" s="1" t="s">
        <v>4166</v>
      </c>
      <c r="E4707" s="1" t="s">
        <v>2763</v>
      </c>
      <c r="F4707" s="3">
        <v>0</v>
      </c>
      <c r="G4707" s="8" t="s">
        <v>2773</v>
      </c>
      <c r="H4707" s="8" t="s">
        <v>5161</v>
      </c>
      <c r="I4707" s="3">
        <v>30</v>
      </c>
      <c r="J4707" s="3" t="s">
        <v>6477</v>
      </c>
      <c r="K4707" s="17" t="str">
        <f>HYPERLINK("http://ictvonline.org/taxonomyHistory.asp?taxnode_id=20175246","ICTVonline=20175246")</f>
        <v>ICTVonline=20175246</v>
      </c>
      <c r="L4707" s="3">
        <v>4706</v>
      </c>
    </row>
    <row r="4708" spans="1:12" x14ac:dyDescent="0.15">
      <c r="A4708" s="1" t="s">
        <v>908</v>
      </c>
      <c r="B4708" s="1" t="s">
        <v>785</v>
      </c>
      <c r="D4708" s="1" t="s">
        <v>4166</v>
      </c>
      <c r="E4708" s="1" t="s">
        <v>2764</v>
      </c>
      <c r="F4708" s="3">
        <v>0</v>
      </c>
      <c r="G4708" s="8" t="s">
        <v>2773</v>
      </c>
      <c r="H4708" s="8" t="s">
        <v>5161</v>
      </c>
      <c r="I4708" s="3">
        <v>30</v>
      </c>
      <c r="J4708" s="3" t="s">
        <v>6477</v>
      </c>
      <c r="K4708" s="17" t="str">
        <f>HYPERLINK("http://ictvonline.org/taxonomyHistory.asp?taxnode_id=20175247","ICTVonline=20175247")</f>
        <v>ICTVonline=20175247</v>
      </c>
      <c r="L4708" s="3">
        <v>4707</v>
      </c>
    </row>
    <row r="4709" spans="1:12" x14ac:dyDescent="0.15">
      <c r="A4709" s="1" t="s">
        <v>908</v>
      </c>
      <c r="B4709" s="1" t="s">
        <v>785</v>
      </c>
      <c r="D4709" s="1" t="s">
        <v>1915</v>
      </c>
      <c r="E4709" s="1" t="s">
        <v>1916</v>
      </c>
      <c r="F4709" s="3">
        <v>0</v>
      </c>
      <c r="G4709" s="8" t="s">
        <v>2773</v>
      </c>
      <c r="H4709" s="8" t="s">
        <v>5161</v>
      </c>
      <c r="I4709" s="3">
        <v>13</v>
      </c>
      <c r="J4709" s="3" t="s">
        <v>6016</v>
      </c>
      <c r="K4709" s="17" t="str">
        <f>HYPERLINK("http://ictvonline.org/taxonomyHistory.asp?taxnode_id=20175249","ICTVonline=20175249")</f>
        <v>ICTVonline=20175249</v>
      </c>
      <c r="L4709" s="3">
        <v>4708</v>
      </c>
    </row>
    <row r="4710" spans="1:12" x14ac:dyDescent="0.15">
      <c r="A4710" s="1" t="s">
        <v>908</v>
      </c>
      <c r="B4710" s="1" t="s">
        <v>785</v>
      </c>
      <c r="D4710" s="1" t="s">
        <v>1915</v>
      </c>
      <c r="E4710" s="1" t="s">
        <v>1917</v>
      </c>
      <c r="F4710" s="3">
        <v>0</v>
      </c>
      <c r="G4710" s="8" t="s">
        <v>2773</v>
      </c>
      <c r="H4710" s="8" t="s">
        <v>5161</v>
      </c>
      <c r="I4710" s="3">
        <v>13</v>
      </c>
      <c r="J4710" s="3" t="s">
        <v>6016</v>
      </c>
      <c r="K4710" s="17" t="str">
        <f>HYPERLINK("http://ictvonline.org/taxonomyHistory.asp?taxnode_id=20175250","ICTVonline=20175250")</f>
        <v>ICTVonline=20175250</v>
      </c>
      <c r="L4710" s="3">
        <v>4709</v>
      </c>
    </row>
    <row r="4711" spans="1:12" x14ac:dyDescent="0.15">
      <c r="A4711" s="1" t="s">
        <v>908</v>
      </c>
      <c r="B4711" s="1" t="s">
        <v>785</v>
      </c>
      <c r="D4711" s="1" t="s">
        <v>1915</v>
      </c>
      <c r="E4711" s="1" t="s">
        <v>1918</v>
      </c>
      <c r="F4711" s="3">
        <v>0</v>
      </c>
      <c r="G4711" s="8" t="s">
        <v>2773</v>
      </c>
      <c r="H4711" s="8" t="s">
        <v>5159</v>
      </c>
      <c r="I4711" s="3">
        <v>22</v>
      </c>
      <c r="J4711" s="3" t="s">
        <v>6478</v>
      </c>
      <c r="K4711" s="17" t="str">
        <f>HYPERLINK("http://ictvonline.org/taxonomyHistory.asp?taxnode_id=20175251","ICTVonline=20175251")</f>
        <v>ICTVonline=20175251</v>
      </c>
      <c r="L4711" s="3">
        <v>4710</v>
      </c>
    </row>
    <row r="4712" spans="1:12" x14ac:dyDescent="0.15">
      <c r="A4712" s="1" t="s">
        <v>908</v>
      </c>
      <c r="B4712" s="1" t="s">
        <v>785</v>
      </c>
      <c r="D4712" s="1" t="s">
        <v>1915</v>
      </c>
      <c r="E4712" s="1" t="s">
        <v>1919</v>
      </c>
      <c r="F4712" s="3">
        <v>0</v>
      </c>
      <c r="G4712" s="8" t="s">
        <v>2773</v>
      </c>
      <c r="H4712" s="8" t="s">
        <v>5161</v>
      </c>
      <c r="I4712" s="3">
        <v>13</v>
      </c>
      <c r="J4712" s="3" t="s">
        <v>6016</v>
      </c>
      <c r="K4712" s="17" t="str">
        <f>HYPERLINK("http://ictvonline.org/taxonomyHistory.asp?taxnode_id=20175252","ICTVonline=20175252")</f>
        <v>ICTVonline=20175252</v>
      </c>
      <c r="L4712" s="3">
        <v>4711</v>
      </c>
    </row>
    <row r="4713" spans="1:12" x14ac:dyDescent="0.15">
      <c r="A4713" s="1" t="s">
        <v>908</v>
      </c>
      <c r="B4713" s="1" t="s">
        <v>785</v>
      </c>
      <c r="D4713" s="1" t="s">
        <v>1915</v>
      </c>
      <c r="E4713" s="1" t="s">
        <v>1920</v>
      </c>
      <c r="F4713" s="3">
        <v>0</v>
      </c>
      <c r="G4713" s="8" t="s">
        <v>2773</v>
      </c>
      <c r="H4713" s="8" t="s">
        <v>5161</v>
      </c>
      <c r="I4713" s="3">
        <v>13</v>
      </c>
      <c r="J4713" s="3" t="s">
        <v>6016</v>
      </c>
      <c r="K4713" s="17" t="str">
        <f>HYPERLINK("http://ictvonline.org/taxonomyHistory.asp?taxnode_id=20175253","ICTVonline=20175253")</f>
        <v>ICTVonline=20175253</v>
      </c>
      <c r="L4713" s="3">
        <v>4712</v>
      </c>
    </row>
    <row r="4714" spans="1:12" x14ac:dyDescent="0.15">
      <c r="A4714" s="1" t="s">
        <v>908</v>
      </c>
      <c r="B4714" s="1" t="s">
        <v>785</v>
      </c>
      <c r="D4714" s="1" t="s">
        <v>1915</v>
      </c>
      <c r="E4714" s="1" t="s">
        <v>1921</v>
      </c>
      <c r="F4714" s="3">
        <v>0</v>
      </c>
      <c r="G4714" s="8" t="s">
        <v>2773</v>
      </c>
      <c r="H4714" s="8" t="s">
        <v>5168</v>
      </c>
      <c r="I4714" s="3">
        <v>24</v>
      </c>
      <c r="J4714" s="3" t="s">
        <v>6479</v>
      </c>
      <c r="K4714" s="17" t="str">
        <f>HYPERLINK("http://ictvonline.org/taxonomyHistory.asp?taxnode_id=20175254","ICTVonline=20175254")</f>
        <v>ICTVonline=20175254</v>
      </c>
      <c r="L4714" s="3">
        <v>4713</v>
      </c>
    </row>
    <row r="4715" spans="1:12" x14ac:dyDescent="0.15">
      <c r="A4715" s="1" t="s">
        <v>908</v>
      </c>
      <c r="B4715" s="1" t="s">
        <v>785</v>
      </c>
      <c r="D4715" s="1" t="s">
        <v>1915</v>
      </c>
      <c r="E4715" s="1" t="s">
        <v>1949</v>
      </c>
      <c r="F4715" s="3">
        <v>0</v>
      </c>
      <c r="G4715" s="8" t="s">
        <v>2773</v>
      </c>
      <c r="H4715" s="8" t="s">
        <v>5161</v>
      </c>
      <c r="I4715" s="3">
        <v>13</v>
      </c>
      <c r="J4715" s="3" t="s">
        <v>6016</v>
      </c>
      <c r="K4715" s="17" t="str">
        <f>HYPERLINK("http://ictvonline.org/taxonomyHistory.asp?taxnode_id=20175255","ICTVonline=20175255")</f>
        <v>ICTVonline=20175255</v>
      </c>
      <c r="L4715" s="3">
        <v>4714</v>
      </c>
    </row>
    <row r="4716" spans="1:12" x14ac:dyDescent="0.15">
      <c r="A4716" s="1" t="s">
        <v>908</v>
      </c>
      <c r="B4716" s="1" t="s">
        <v>785</v>
      </c>
      <c r="D4716" s="1" t="s">
        <v>1915</v>
      </c>
      <c r="E4716" s="1" t="s">
        <v>1950</v>
      </c>
      <c r="F4716" s="3">
        <v>0</v>
      </c>
      <c r="G4716" s="8" t="s">
        <v>2773</v>
      </c>
      <c r="H4716" s="8" t="s">
        <v>5159</v>
      </c>
      <c r="I4716" s="3">
        <v>24</v>
      </c>
      <c r="J4716" s="3" t="s">
        <v>6480</v>
      </c>
      <c r="K4716" s="17" t="str">
        <f>HYPERLINK("http://ictvonline.org/taxonomyHistory.asp?taxnode_id=20175256","ICTVonline=20175256")</f>
        <v>ICTVonline=20175256</v>
      </c>
      <c r="L4716" s="3">
        <v>4715</v>
      </c>
    </row>
    <row r="4717" spans="1:12" x14ac:dyDescent="0.15">
      <c r="A4717" s="1" t="s">
        <v>908</v>
      </c>
      <c r="B4717" s="1" t="s">
        <v>785</v>
      </c>
      <c r="D4717" s="1" t="s">
        <v>1915</v>
      </c>
      <c r="E4717" s="1" t="s">
        <v>1951</v>
      </c>
      <c r="F4717" s="3">
        <v>0</v>
      </c>
      <c r="G4717" s="8" t="s">
        <v>2773</v>
      </c>
      <c r="H4717" s="8" t="s">
        <v>5161</v>
      </c>
      <c r="I4717" s="3">
        <v>13</v>
      </c>
      <c r="J4717" s="3" t="s">
        <v>6016</v>
      </c>
      <c r="K4717" s="17" t="str">
        <f>HYPERLINK("http://ictvonline.org/taxonomyHistory.asp?taxnode_id=20175257","ICTVonline=20175257")</f>
        <v>ICTVonline=20175257</v>
      </c>
      <c r="L4717" s="3">
        <v>4716</v>
      </c>
    </row>
    <row r="4718" spans="1:12" x14ac:dyDescent="0.15">
      <c r="A4718" s="1" t="s">
        <v>908</v>
      </c>
      <c r="B4718" s="1" t="s">
        <v>785</v>
      </c>
      <c r="D4718" s="1" t="s">
        <v>1915</v>
      </c>
      <c r="E4718" s="1" t="s">
        <v>1952</v>
      </c>
      <c r="F4718" s="3">
        <v>0</v>
      </c>
      <c r="G4718" s="8" t="s">
        <v>2773</v>
      </c>
      <c r="H4718" s="8" t="s">
        <v>5159</v>
      </c>
      <c r="I4718" s="3">
        <v>24</v>
      </c>
      <c r="J4718" s="3" t="s">
        <v>6481</v>
      </c>
      <c r="K4718" s="17" t="str">
        <f>HYPERLINK("http://ictvonline.org/taxonomyHistory.asp?taxnode_id=20175258","ICTVonline=20175258")</f>
        <v>ICTVonline=20175258</v>
      </c>
      <c r="L4718" s="3">
        <v>4717</v>
      </c>
    </row>
    <row r="4719" spans="1:12" x14ac:dyDescent="0.15">
      <c r="A4719" s="1" t="s">
        <v>908</v>
      </c>
      <c r="B4719" s="1" t="s">
        <v>785</v>
      </c>
      <c r="D4719" s="1" t="s">
        <v>1915</v>
      </c>
      <c r="E4719" s="1" t="s">
        <v>1953</v>
      </c>
      <c r="F4719" s="3">
        <v>0</v>
      </c>
      <c r="G4719" s="8" t="s">
        <v>2773</v>
      </c>
      <c r="H4719" s="8" t="s">
        <v>5161</v>
      </c>
      <c r="I4719" s="3">
        <v>13</v>
      </c>
      <c r="J4719" s="3" t="s">
        <v>6016</v>
      </c>
      <c r="K4719" s="17" t="str">
        <f>HYPERLINK("http://ictvonline.org/taxonomyHistory.asp?taxnode_id=20175259","ICTVonline=20175259")</f>
        <v>ICTVonline=20175259</v>
      </c>
      <c r="L4719" s="3">
        <v>4718</v>
      </c>
    </row>
    <row r="4720" spans="1:12" x14ac:dyDescent="0.15">
      <c r="A4720" s="1" t="s">
        <v>908</v>
      </c>
      <c r="B4720" s="1" t="s">
        <v>785</v>
      </c>
      <c r="D4720" s="1" t="s">
        <v>1915</v>
      </c>
      <c r="E4720" s="1" t="s">
        <v>1954</v>
      </c>
      <c r="F4720" s="3">
        <v>0</v>
      </c>
      <c r="G4720" s="8" t="s">
        <v>2773</v>
      </c>
      <c r="H4720" s="8" t="s">
        <v>5161</v>
      </c>
      <c r="I4720" s="3">
        <v>13</v>
      </c>
      <c r="J4720" s="3" t="s">
        <v>6016</v>
      </c>
      <c r="K4720" s="17" t="str">
        <f>HYPERLINK("http://ictvonline.org/taxonomyHistory.asp?taxnode_id=20175260","ICTVonline=20175260")</f>
        <v>ICTVonline=20175260</v>
      </c>
      <c r="L4720" s="3">
        <v>4719</v>
      </c>
    </row>
    <row r="4721" spans="1:12" x14ac:dyDescent="0.15">
      <c r="A4721" s="1" t="s">
        <v>908</v>
      </c>
      <c r="B4721" s="1" t="s">
        <v>785</v>
      </c>
      <c r="D4721" s="1" t="s">
        <v>1915</v>
      </c>
      <c r="E4721" s="1" t="s">
        <v>1955</v>
      </c>
      <c r="F4721" s="3">
        <v>0</v>
      </c>
      <c r="G4721" s="8" t="s">
        <v>2773</v>
      </c>
      <c r="H4721" s="8" t="s">
        <v>5161</v>
      </c>
      <c r="I4721" s="3">
        <v>13</v>
      </c>
      <c r="J4721" s="3" t="s">
        <v>6016</v>
      </c>
      <c r="K4721" s="17" t="str">
        <f>HYPERLINK("http://ictvonline.org/taxonomyHistory.asp?taxnode_id=20175261","ICTVonline=20175261")</f>
        <v>ICTVonline=20175261</v>
      </c>
      <c r="L4721" s="3">
        <v>4720</v>
      </c>
    </row>
    <row r="4722" spans="1:12" x14ac:dyDescent="0.15">
      <c r="A4722" s="1" t="s">
        <v>908</v>
      </c>
      <c r="B4722" s="1" t="s">
        <v>785</v>
      </c>
      <c r="D4722" s="1" t="s">
        <v>1915</v>
      </c>
      <c r="E4722" s="1" t="s">
        <v>1956</v>
      </c>
      <c r="F4722" s="3">
        <v>0</v>
      </c>
      <c r="G4722" s="8" t="s">
        <v>2773</v>
      </c>
      <c r="H4722" s="8" t="s">
        <v>5159</v>
      </c>
      <c r="I4722" s="3">
        <v>24</v>
      </c>
      <c r="J4722" s="3" t="s">
        <v>6481</v>
      </c>
      <c r="K4722" s="17" t="str">
        <f>HYPERLINK("http://ictvonline.org/taxonomyHistory.asp?taxnode_id=20175262","ICTVonline=20175262")</f>
        <v>ICTVonline=20175262</v>
      </c>
      <c r="L4722" s="3">
        <v>4721</v>
      </c>
    </row>
    <row r="4723" spans="1:12" x14ac:dyDescent="0.15">
      <c r="A4723" s="1" t="s">
        <v>908</v>
      </c>
      <c r="B4723" s="1" t="s">
        <v>785</v>
      </c>
      <c r="D4723" s="1" t="s">
        <v>1915</v>
      </c>
      <c r="E4723" s="1" t="s">
        <v>888</v>
      </c>
      <c r="F4723" s="3">
        <v>0</v>
      </c>
      <c r="G4723" s="8" t="s">
        <v>2773</v>
      </c>
      <c r="H4723" s="8" t="s">
        <v>5161</v>
      </c>
      <c r="I4723" s="3">
        <v>13</v>
      </c>
      <c r="J4723" s="3" t="s">
        <v>6016</v>
      </c>
      <c r="K4723" s="17" t="str">
        <f>HYPERLINK("http://ictvonline.org/taxonomyHistory.asp?taxnode_id=20175263","ICTVonline=20175263")</f>
        <v>ICTVonline=20175263</v>
      </c>
      <c r="L4723" s="3">
        <v>4722</v>
      </c>
    </row>
    <row r="4724" spans="1:12" x14ac:dyDescent="0.15">
      <c r="A4724" s="1" t="s">
        <v>908</v>
      </c>
      <c r="B4724" s="1" t="s">
        <v>785</v>
      </c>
      <c r="D4724" s="1" t="s">
        <v>1915</v>
      </c>
      <c r="E4724" s="1" t="s">
        <v>1922</v>
      </c>
      <c r="F4724" s="3">
        <v>0</v>
      </c>
      <c r="G4724" s="8" t="s">
        <v>2773</v>
      </c>
      <c r="H4724" s="8" t="s">
        <v>5162</v>
      </c>
      <c r="I4724" s="3">
        <v>18</v>
      </c>
      <c r="J4724" s="3" t="s">
        <v>5597</v>
      </c>
      <c r="K4724" s="17" t="str">
        <f>HYPERLINK("http://ictvonline.org/taxonomyHistory.asp?taxnode_id=20175264","ICTVonline=20175264")</f>
        <v>ICTVonline=20175264</v>
      </c>
      <c r="L4724" s="3">
        <v>4723</v>
      </c>
    </row>
    <row r="4725" spans="1:12" x14ac:dyDescent="0.15">
      <c r="A4725" s="1" t="s">
        <v>908</v>
      </c>
      <c r="B4725" s="1" t="s">
        <v>785</v>
      </c>
      <c r="D4725" s="1" t="s">
        <v>1915</v>
      </c>
      <c r="E4725" s="1" t="s">
        <v>1928</v>
      </c>
      <c r="F4725" s="3">
        <v>1</v>
      </c>
      <c r="G4725" s="8" t="s">
        <v>2773</v>
      </c>
      <c r="H4725" s="8" t="s">
        <v>5161</v>
      </c>
      <c r="I4725" s="3">
        <v>13</v>
      </c>
      <c r="J4725" s="3" t="s">
        <v>6016</v>
      </c>
      <c r="K4725" s="17" t="str">
        <f>HYPERLINK("http://ictvonline.org/taxonomyHistory.asp?taxnode_id=20175265","ICTVonline=20175265")</f>
        <v>ICTVonline=20175265</v>
      </c>
      <c r="L4725" s="3">
        <v>4724</v>
      </c>
    </row>
    <row r="4726" spans="1:12" x14ac:dyDescent="0.15">
      <c r="A4726" s="1" t="s">
        <v>908</v>
      </c>
      <c r="B4726" s="1" t="s">
        <v>785</v>
      </c>
      <c r="D4726" s="1" t="s">
        <v>1728</v>
      </c>
      <c r="E4726" s="1" t="s">
        <v>1729</v>
      </c>
      <c r="F4726" s="3">
        <v>0</v>
      </c>
      <c r="G4726" s="8" t="s">
        <v>2773</v>
      </c>
      <c r="H4726" s="8" t="s">
        <v>5161</v>
      </c>
      <c r="I4726" s="3">
        <v>29</v>
      </c>
      <c r="J4726" s="3" t="s">
        <v>6216</v>
      </c>
      <c r="K4726" s="17" t="str">
        <f>HYPERLINK("http://ictvonline.org/taxonomyHistory.asp?taxnode_id=20175267","ICTVonline=20175267")</f>
        <v>ICTVonline=20175267</v>
      </c>
      <c r="L4726" s="3">
        <v>4725</v>
      </c>
    </row>
    <row r="4727" spans="1:12" x14ac:dyDescent="0.15">
      <c r="A4727" s="1" t="s">
        <v>908</v>
      </c>
      <c r="B4727" s="1" t="s">
        <v>785</v>
      </c>
      <c r="D4727" s="1" t="s">
        <v>1728</v>
      </c>
      <c r="E4727" s="1" t="s">
        <v>1130</v>
      </c>
      <c r="F4727" s="3">
        <v>1</v>
      </c>
      <c r="G4727" s="8" t="s">
        <v>2773</v>
      </c>
      <c r="H4727" s="8" t="s">
        <v>5161</v>
      </c>
      <c r="I4727" s="3">
        <v>29</v>
      </c>
      <c r="J4727" s="3" t="s">
        <v>6216</v>
      </c>
      <c r="K4727" s="17" t="str">
        <f>HYPERLINK("http://ictvonline.org/taxonomyHistory.asp?taxnode_id=20175268","ICTVonline=20175268")</f>
        <v>ICTVonline=20175268</v>
      </c>
      <c r="L4727" s="3">
        <v>4726</v>
      </c>
    </row>
    <row r="4728" spans="1:12" x14ac:dyDescent="0.15">
      <c r="A4728" s="1" t="s">
        <v>908</v>
      </c>
      <c r="B4728" s="1" t="s">
        <v>785</v>
      </c>
      <c r="D4728" s="1" t="s">
        <v>1728</v>
      </c>
      <c r="E4728" s="1" t="s">
        <v>5147</v>
      </c>
      <c r="F4728" s="3">
        <v>0</v>
      </c>
      <c r="G4728" s="8" t="s">
        <v>2773</v>
      </c>
      <c r="H4728" s="8" t="s">
        <v>5159</v>
      </c>
      <c r="I4728" s="3">
        <v>31</v>
      </c>
      <c r="J4728" s="3" t="s">
        <v>6482</v>
      </c>
      <c r="K4728" s="17" t="str">
        <f>HYPERLINK("http://ictvonline.org/taxonomyHistory.asp?taxnode_id=20175269","ICTVonline=20175269")</f>
        <v>ICTVonline=20175269</v>
      </c>
      <c r="L4728" s="3">
        <v>4727</v>
      </c>
    </row>
    <row r="4729" spans="1:12" x14ac:dyDescent="0.15">
      <c r="A4729" s="1" t="s">
        <v>908</v>
      </c>
      <c r="B4729" s="1" t="s">
        <v>785</v>
      </c>
      <c r="D4729" s="1" t="s">
        <v>1728</v>
      </c>
      <c r="E4729" s="1" t="s">
        <v>1131</v>
      </c>
      <c r="F4729" s="3">
        <v>0</v>
      </c>
      <c r="G4729" s="8" t="s">
        <v>2773</v>
      </c>
      <c r="H4729" s="8" t="s">
        <v>5161</v>
      </c>
      <c r="I4729" s="3">
        <v>29</v>
      </c>
      <c r="J4729" s="3" t="s">
        <v>6216</v>
      </c>
      <c r="K4729" s="17" t="str">
        <f>HYPERLINK("http://ictvonline.org/taxonomyHistory.asp?taxnode_id=20175270","ICTVonline=20175270")</f>
        <v>ICTVonline=20175270</v>
      </c>
      <c r="L4729" s="3">
        <v>4728</v>
      </c>
    </row>
    <row r="4730" spans="1:12" x14ac:dyDescent="0.15">
      <c r="A4730" s="1" t="s">
        <v>908</v>
      </c>
      <c r="B4730" s="1" t="s">
        <v>785</v>
      </c>
      <c r="D4730" s="1" t="s">
        <v>1728</v>
      </c>
      <c r="E4730" s="1" t="s">
        <v>1646</v>
      </c>
      <c r="F4730" s="3">
        <v>0</v>
      </c>
      <c r="G4730" s="8" t="s">
        <v>2773</v>
      </c>
      <c r="H4730" s="8" t="s">
        <v>5161</v>
      </c>
      <c r="I4730" s="3">
        <v>29</v>
      </c>
      <c r="J4730" s="3" t="s">
        <v>6216</v>
      </c>
      <c r="K4730" s="17" t="str">
        <f>HYPERLINK("http://ictvonline.org/taxonomyHistory.asp?taxnode_id=20175271","ICTVonline=20175271")</f>
        <v>ICTVonline=20175271</v>
      </c>
      <c r="L4730" s="3">
        <v>4729</v>
      </c>
    </row>
    <row r="4731" spans="1:12" x14ac:dyDescent="0.15">
      <c r="A4731" s="1" t="s">
        <v>908</v>
      </c>
      <c r="B4731" s="1" t="s">
        <v>785</v>
      </c>
      <c r="D4731" s="1" t="s">
        <v>1728</v>
      </c>
      <c r="E4731" s="1" t="s">
        <v>5148</v>
      </c>
      <c r="F4731" s="3">
        <v>0</v>
      </c>
      <c r="G4731" s="8" t="s">
        <v>2773</v>
      </c>
      <c r="H4731" s="8" t="s">
        <v>5159</v>
      </c>
      <c r="I4731" s="3">
        <v>31</v>
      </c>
      <c r="J4731" s="3" t="s">
        <v>6482</v>
      </c>
      <c r="K4731" s="17" t="str">
        <f>HYPERLINK("http://ictvonline.org/taxonomyHistory.asp?taxnode_id=20175272","ICTVonline=20175272")</f>
        <v>ICTVonline=20175272</v>
      </c>
      <c r="L4731" s="3">
        <v>4730</v>
      </c>
    </row>
    <row r="4732" spans="1:12" x14ac:dyDescent="0.15">
      <c r="A4732" s="1" t="s">
        <v>908</v>
      </c>
      <c r="B4732" s="1" t="s">
        <v>785</v>
      </c>
      <c r="D4732" s="1" t="s">
        <v>1728</v>
      </c>
      <c r="E4732" s="1" t="s">
        <v>2649</v>
      </c>
      <c r="F4732" s="3">
        <v>0</v>
      </c>
      <c r="G4732" s="8" t="s">
        <v>2773</v>
      </c>
      <c r="H4732" s="8" t="s">
        <v>5161</v>
      </c>
      <c r="I4732" s="3">
        <v>29</v>
      </c>
      <c r="J4732" s="3" t="s">
        <v>6216</v>
      </c>
      <c r="K4732" s="17" t="str">
        <f>HYPERLINK("http://ictvonline.org/taxonomyHistory.asp?taxnode_id=20175273","ICTVonline=20175273")</f>
        <v>ICTVonline=20175273</v>
      </c>
      <c r="L4732" s="3">
        <v>4731</v>
      </c>
    </row>
    <row r="4733" spans="1:12" x14ac:dyDescent="0.15">
      <c r="A4733" s="1" t="s">
        <v>908</v>
      </c>
      <c r="B4733" s="1" t="s">
        <v>785</v>
      </c>
      <c r="D4733" s="1" t="s">
        <v>1728</v>
      </c>
      <c r="E4733" s="1" t="s">
        <v>1133</v>
      </c>
      <c r="F4733" s="3">
        <v>0</v>
      </c>
      <c r="G4733" s="8" t="s">
        <v>2773</v>
      </c>
      <c r="H4733" s="8" t="s">
        <v>5161</v>
      </c>
      <c r="I4733" s="3">
        <v>29</v>
      </c>
      <c r="J4733" s="3" t="s">
        <v>6216</v>
      </c>
      <c r="K4733" s="17" t="str">
        <f>HYPERLINK("http://ictvonline.org/taxonomyHistory.asp?taxnode_id=20175274","ICTVonline=20175274")</f>
        <v>ICTVonline=20175274</v>
      </c>
      <c r="L4733" s="3">
        <v>4732</v>
      </c>
    </row>
    <row r="4734" spans="1:12" x14ac:dyDescent="0.15">
      <c r="A4734" s="1" t="s">
        <v>908</v>
      </c>
      <c r="B4734" s="1" t="s">
        <v>785</v>
      </c>
      <c r="D4734" s="1" t="s">
        <v>1728</v>
      </c>
      <c r="E4734" s="1" t="s">
        <v>1050</v>
      </c>
      <c r="F4734" s="3">
        <v>0</v>
      </c>
      <c r="G4734" s="8" t="s">
        <v>2773</v>
      </c>
      <c r="H4734" s="8" t="s">
        <v>5161</v>
      </c>
      <c r="I4734" s="3">
        <v>29</v>
      </c>
      <c r="J4734" s="3" t="s">
        <v>6216</v>
      </c>
      <c r="K4734" s="17" t="str">
        <f>HYPERLINK("http://ictvonline.org/taxonomyHistory.asp?taxnode_id=20175275","ICTVonline=20175275")</f>
        <v>ICTVonline=20175275</v>
      </c>
      <c r="L4734" s="3">
        <v>4733</v>
      </c>
    </row>
    <row r="4735" spans="1:12" x14ac:dyDescent="0.15">
      <c r="A4735" s="1" t="s">
        <v>908</v>
      </c>
      <c r="B4735" s="1" t="s">
        <v>785</v>
      </c>
      <c r="D4735" s="1" t="s">
        <v>908</v>
      </c>
      <c r="E4735" s="1" t="s">
        <v>791</v>
      </c>
      <c r="F4735" s="3">
        <v>0</v>
      </c>
      <c r="G4735" s="8" t="s">
        <v>2773</v>
      </c>
      <c r="H4735" s="8" t="s">
        <v>5161</v>
      </c>
      <c r="I4735" s="3">
        <v>30</v>
      </c>
      <c r="J4735" s="3" t="s">
        <v>6469</v>
      </c>
      <c r="K4735" s="17" t="str">
        <f>HYPERLINK("http://ictvonline.org/taxonomyHistory.asp?taxnode_id=20175277","ICTVonline=20175277")</f>
        <v>ICTVonline=20175277</v>
      </c>
      <c r="L4735" s="3">
        <v>4734</v>
      </c>
    </row>
    <row r="4736" spans="1:12" x14ac:dyDescent="0.15">
      <c r="A4736" s="1" t="s">
        <v>908</v>
      </c>
      <c r="B4736" s="1" t="s">
        <v>785</v>
      </c>
      <c r="D4736" s="1" t="s">
        <v>908</v>
      </c>
      <c r="E4736" s="1" t="s">
        <v>793</v>
      </c>
      <c r="F4736" s="3">
        <v>0</v>
      </c>
      <c r="G4736" s="8" t="s">
        <v>2773</v>
      </c>
      <c r="H4736" s="8" t="s">
        <v>5161</v>
      </c>
      <c r="I4736" s="3">
        <v>30</v>
      </c>
      <c r="J4736" s="3" t="s">
        <v>6469</v>
      </c>
      <c r="K4736" s="17" t="str">
        <f>HYPERLINK("http://ictvonline.org/taxonomyHistory.asp?taxnode_id=20175278","ICTVonline=20175278")</f>
        <v>ICTVonline=20175278</v>
      </c>
      <c r="L4736" s="3">
        <v>4735</v>
      </c>
    </row>
    <row r="4737" spans="1:12" x14ac:dyDescent="0.15">
      <c r="A4737" s="1" t="s">
        <v>908</v>
      </c>
      <c r="B4737" s="1" t="s">
        <v>785</v>
      </c>
      <c r="D4737" s="1" t="s">
        <v>908</v>
      </c>
      <c r="E4737" s="1" t="s">
        <v>875</v>
      </c>
      <c r="F4737" s="3">
        <v>0</v>
      </c>
      <c r="G4737" s="8" t="s">
        <v>2773</v>
      </c>
      <c r="H4737" s="8" t="s">
        <v>5161</v>
      </c>
      <c r="I4737" s="3">
        <v>27</v>
      </c>
      <c r="J4737" s="3" t="s">
        <v>6470</v>
      </c>
      <c r="K4737" s="17" t="str">
        <f>HYPERLINK("http://ictvonline.org/taxonomyHistory.asp?taxnode_id=20175279","ICTVonline=20175279")</f>
        <v>ICTVonline=20175279</v>
      </c>
      <c r="L4737" s="3">
        <v>4736</v>
      </c>
    </row>
    <row r="4738" spans="1:12" x14ac:dyDescent="0.15">
      <c r="A4738" s="1" t="s">
        <v>908</v>
      </c>
      <c r="B4738" s="1" t="s">
        <v>785</v>
      </c>
      <c r="D4738" s="1" t="s">
        <v>908</v>
      </c>
      <c r="E4738" s="1" t="s">
        <v>1397</v>
      </c>
      <c r="F4738" s="3">
        <v>0</v>
      </c>
      <c r="G4738" s="8" t="s">
        <v>2773</v>
      </c>
      <c r="H4738" s="8" t="s">
        <v>5161</v>
      </c>
      <c r="I4738" s="3">
        <v>30</v>
      </c>
      <c r="J4738" s="3" t="s">
        <v>6469</v>
      </c>
      <c r="K4738" s="17" t="str">
        <f>HYPERLINK("http://ictvonline.org/taxonomyHistory.asp?taxnode_id=20175280","ICTVonline=20175280")</f>
        <v>ICTVonline=20175280</v>
      </c>
      <c r="L4738" s="3">
        <v>4737</v>
      </c>
    </row>
    <row r="4739" spans="1:12" x14ac:dyDescent="0.15">
      <c r="A4739" s="1" t="s">
        <v>908</v>
      </c>
      <c r="B4739" s="1" t="s">
        <v>785</v>
      </c>
      <c r="D4739" s="1" t="s">
        <v>908</v>
      </c>
      <c r="E4739" s="1" t="s">
        <v>2765</v>
      </c>
      <c r="F4739" s="3">
        <v>0</v>
      </c>
      <c r="G4739" s="8" t="s">
        <v>2773</v>
      </c>
      <c r="H4739" s="8" t="s">
        <v>5159</v>
      </c>
      <c r="I4739" s="3">
        <v>29</v>
      </c>
      <c r="J4739" s="3" t="s">
        <v>6483</v>
      </c>
      <c r="K4739" s="17" t="str">
        <f>HYPERLINK("http://ictvonline.org/taxonomyHistory.asp?taxnode_id=20175281","ICTVonline=20175281")</f>
        <v>ICTVonline=20175281</v>
      </c>
      <c r="L4739" s="3">
        <v>4738</v>
      </c>
    </row>
    <row r="4740" spans="1:12" x14ac:dyDescent="0.15">
      <c r="A4740" s="1" t="s">
        <v>908</v>
      </c>
      <c r="B4740" s="1" t="s">
        <v>785</v>
      </c>
      <c r="D4740" s="1" t="s">
        <v>908</v>
      </c>
      <c r="E4740" s="1" t="s">
        <v>1281</v>
      </c>
      <c r="F4740" s="3">
        <v>0</v>
      </c>
      <c r="G4740" s="8" t="s">
        <v>2773</v>
      </c>
      <c r="H4740" s="8" t="s">
        <v>5161</v>
      </c>
      <c r="I4740" s="3">
        <v>30</v>
      </c>
      <c r="J4740" s="3" t="s">
        <v>6469</v>
      </c>
      <c r="K4740" s="17" t="str">
        <f>HYPERLINK("http://ictvonline.org/taxonomyHistory.asp?taxnode_id=20175282","ICTVonline=20175282")</f>
        <v>ICTVonline=20175282</v>
      </c>
      <c r="L4740" s="3">
        <v>4739</v>
      </c>
    </row>
    <row r="4741" spans="1:12" x14ac:dyDescent="0.15">
      <c r="A4741" s="1" t="s">
        <v>908</v>
      </c>
      <c r="B4741" s="1" t="s">
        <v>785</v>
      </c>
      <c r="D4741" s="1" t="s">
        <v>2300</v>
      </c>
      <c r="E4741" s="1" t="s">
        <v>2019</v>
      </c>
      <c r="F4741" s="3">
        <v>1</v>
      </c>
      <c r="G4741" s="8" t="s">
        <v>2773</v>
      </c>
      <c r="H4741" s="8" t="s">
        <v>5165</v>
      </c>
      <c r="I4741" s="3">
        <v>27</v>
      </c>
      <c r="J4741" s="3" t="s">
        <v>6484</v>
      </c>
      <c r="K4741" s="17" t="str">
        <f>HYPERLINK("http://ictvonline.org/taxonomyHistory.asp?taxnode_id=20175284","ICTVonline=20175284")</f>
        <v>ICTVonline=20175284</v>
      </c>
      <c r="L4741" s="3">
        <v>4740</v>
      </c>
    </row>
    <row r="4742" spans="1:12" x14ac:dyDescent="0.15">
      <c r="A4742" s="1" t="s">
        <v>908</v>
      </c>
      <c r="B4742" s="1" t="s">
        <v>1929</v>
      </c>
      <c r="D4742" s="1" t="s">
        <v>1930</v>
      </c>
      <c r="E4742" s="1" t="s">
        <v>1616</v>
      </c>
      <c r="F4742" s="3">
        <v>1</v>
      </c>
      <c r="G4742" s="8" t="s">
        <v>2776</v>
      </c>
      <c r="H4742" s="8" t="s">
        <v>5161</v>
      </c>
      <c r="I4742" s="3">
        <v>13</v>
      </c>
      <c r="J4742" s="3" t="s">
        <v>6016</v>
      </c>
      <c r="K4742" s="17" t="str">
        <f>HYPERLINK("http://ictvonline.org/taxonomyHistory.asp?taxnode_id=20175288","ICTVonline=20175288")</f>
        <v>ICTVonline=20175288</v>
      </c>
      <c r="L4742" s="3">
        <v>4741</v>
      </c>
    </row>
    <row r="4743" spans="1:12" x14ac:dyDescent="0.15">
      <c r="A4743" s="1" t="s">
        <v>908</v>
      </c>
      <c r="B4743" s="1" t="s">
        <v>1929</v>
      </c>
      <c r="D4743" s="1" t="s">
        <v>1617</v>
      </c>
      <c r="E4743" s="1" t="s">
        <v>2631</v>
      </c>
      <c r="F4743" s="3">
        <v>1</v>
      </c>
      <c r="G4743" s="8" t="s">
        <v>2776</v>
      </c>
      <c r="H4743" s="8" t="s">
        <v>5162</v>
      </c>
      <c r="I4743" s="3">
        <v>28</v>
      </c>
      <c r="J4743" s="3" t="s">
        <v>6485</v>
      </c>
      <c r="K4743" s="17" t="str">
        <f>HYPERLINK("http://ictvonline.org/taxonomyHistory.asp?taxnode_id=20175290","ICTVonline=20175290")</f>
        <v>ICTVonline=20175290</v>
      </c>
      <c r="L4743" s="3">
        <v>4742</v>
      </c>
    </row>
    <row r="4744" spans="1:12" x14ac:dyDescent="0.15">
      <c r="A4744" s="1" t="s">
        <v>908</v>
      </c>
      <c r="B4744" s="1" t="s">
        <v>1929</v>
      </c>
      <c r="D4744" s="1" t="s">
        <v>1617</v>
      </c>
      <c r="E4744" s="1" t="s">
        <v>2632</v>
      </c>
      <c r="F4744" s="3">
        <v>0</v>
      </c>
      <c r="G4744" s="8" t="s">
        <v>2776</v>
      </c>
      <c r="H4744" s="8" t="s">
        <v>5162</v>
      </c>
      <c r="I4744" s="3">
        <v>28</v>
      </c>
      <c r="J4744" s="3" t="s">
        <v>6485</v>
      </c>
      <c r="K4744" s="17" t="str">
        <f>HYPERLINK("http://ictvonline.org/taxonomyHistory.asp?taxnode_id=20175291","ICTVonline=20175291")</f>
        <v>ICTVonline=20175291</v>
      </c>
      <c r="L4744" s="3">
        <v>4743</v>
      </c>
    </row>
    <row r="4745" spans="1:12" x14ac:dyDescent="0.15">
      <c r="A4745" s="1" t="s">
        <v>908</v>
      </c>
      <c r="B4745" s="1" t="s">
        <v>1929</v>
      </c>
      <c r="D4745" s="1" t="s">
        <v>1343</v>
      </c>
      <c r="E4745" s="1" t="s">
        <v>1344</v>
      </c>
      <c r="F4745" s="3">
        <v>1</v>
      </c>
      <c r="G4745" s="8" t="s">
        <v>2776</v>
      </c>
      <c r="H4745" s="8" t="s">
        <v>5162</v>
      </c>
      <c r="I4745" s="3">
        <v>12</v>
      </c>
      <c r="J4745" s="3" t="s">
        <v>6080</v>
      </c>
      <c r="K4745" s="17" t="str">
        <f>HYPERLINK("http://ictvonline.org/taxonomyHistory.asp?taxnode_id=20175293","ICTVonline=20175293")</f>
        <v>ICTVonline=20175293</v>
      </c>
      <c r="L4745" s="3">
        <v>4744</v>
      </c>
    </row>
    <row r="4746" spans="1:12" x14ac:dyDescent="0.15">
      <c r="A4746" s="1" t="s">
        <v>908</v>
      </c>
      <c r="B4746" s="1" t="s">
        <v>1929</v>
      </c>
      <c r="D4746" s="1" t="s">
        <v>1343</v>
      </c>
      <c r="E4746" s="1" t="s">
        <v>6486</v>
      </c>
      <c r="F4746" s="3">
        <v>0</v>
      </c>
      <c r="G4746" s="8" t="s">
        <v>2776</v>
      </c>
      <c r="H4746" s="8" t="s">
        <v>5162</v>
      </c>
      <c r="I4746" s="3">
        <v>32</v>
      </c>
      <c r="J4746" s="3" t="s">
        <v>5564</v>
      </c>
      <c r="K4746" s="17" t="str">
        <f>HYPERLINK("http://ictvonline.org/taxonomyHistory.asp?taxnode_id=20175294","ICTVonline=20175294")</f>
        <v>ICTVonline=20175294</v>
      </c>
      <c r="L4746" s="3">
        <v>4745</v>
      </c>
    </row>
    <row r="4747" spans="1:12" x14ac:dyDescent="0.15">
      <c r="A4747" s="1" t="s">
        <v>908</v>
      </c>
      <c r="B4747" s="1" t="s">
        <v>1929</v>
      </c>
      <c r="D4747" s="1" t="s">
        <v>1343</v>
      </c>
      <c r="E4747" s="1" t="s">
        <v>2633</v>
      </c>
      <c r="F4747" s="3">
        <v>0</v>
      </c>
      <c r="G4747" s="8" t="s">
        <v>2776</v>
      </c>
      <c r="H4747" s="8" t="s">
        <v>5159</v>
      </c>
      <c r="I4747" s="3">
        <v>28</v>
      </c>
      <c r="J4747" s="3" t="s">
        <v>6487</v>
      </c>
      <c r="K4747" s="17" t="str">
        <f>HYPERLINK("http://ictvonline.org/taxonomyHistory.asp?taxnode_id=20175295","ICTVonline=20175295")</f>
        <v>ICTVonline=20175295</v>
      </c>
      <c r="L4747" s="3">
        <v>4746</v>
      </c>
    </row>
    <row r="4748" spans="1:12" x14ac:dyDescent="0.15">
      <c r="A4748" s="1" t="s">
        <v>908</v>
      </c>
      <c r="B4748" s="1" t="s">
        <v>1929</v>
      </c>
      <c r="D4748" s="1" t="s">
        <v>1343</v>
      </c>
      <c r="E4748" s="1" t="s">
        <v>2634</v>
      </c>
      <c r="F4748" s="3">
        <v>0</v>
      </c>
      <c r="G4748" s="8" t="s">
        <v>2776</v>
      </c>
      <c r="H4748" s="8" t="s">
        <v>5159</v>
      </c>
      <c r="I4748" s="3">
        <v>28</v>
      </c>
      <c r="J4748" s="3" t="s">
        <v>6487</v>
      </c>
      <c r="K4748" s="17" t="str">
        <f>HYPERLINK("http://ictvonline.org/taxonomyHistory.asp?taxnode_id=20175296","ICTVonline=20175296")</f>
        <v>ICTVonline=20175296</v>
      </c>
      <c r="L4748" s="3">
        <v>4747</v>
      </c>
    </row>
    <row r="4749" spans="1:12" x14ac:dyDescent="0.15">
      <c r="A4749" s="1" t="s">
        <v>908</v>
      </c>
      <c r="B4749" s="1" t="s">
        <v>1929</v>
      </c>
      <c r="D4749" s="1" t="s">
        <v>1343</v>
      </c>
      <c r="E4749" s="1" t="s">
        <v>1345</v>
      </c>
      <c r="F4749" s="3">
        <v>0</v>
      </c>
      <c r="G4749" s="8" t="s">
        <v>2776</v>
      </c>
      <c r="H4749" s="8" t="s">
        <v>5162</v>
      </c>
      <c r="I4749" s="3">
        <v>18</v>
      </c>
      <c r="J4749" s="3" t="s">
        <v>5597</v>
      </c>
      <c r="K4749" s="17" t="str">
        <f>HYPERLINK("http://ictvonline.org/taxonomyHistory.asp?taxnode_id=20175297","ICTVonline=20175297")</f>
        <v>ICTVonline=20175297</v>
      </c>
      <c r="L4749" s="3">
        <v>4748</v>
      </c>
    </row>
    <row r="4750" spans="1:12" x14ac:dyDescent="0.15">
      <c r="A4750" s="1" t="s">
        <v>908</v>
      </c>
      <c r="B4750" s="1" t="s">
        <v>1929</v>
      </c>
      <c r="D4750" s="1" t="s">
        <v>1343</v>
      </c>
      <c r="E4750" s="1" t="s">
        <v>2635</v>
      </c>
      <c r="F4750" s="3">
        <v>0</v>
      </c>
      <c r="G4750" s="8" t="s">
        <v>2776</v>
      </c>
      <c r="H4750" s="8" t="s">
        <v>5159</v>
      </c>
      <c r="I4750" s="3">
        <v>28</v>
      </c>
      <c r="J4750" s="3" t="s">
        <v>6487</v>
      </c>
      <c r="K4750" s="17" t="str">
        <f>HYPERLINK("http://ictvonline.org/taxonomyHistory.asp?taxnode_id=20175298","ICTVonline=20175298")</f>
        <v>ICTVonline=20175298</v>
      </c>
      <c r="L4750" s="3">
        <v>4749</v>
      </c>
    </row>
    <row r="4751" spans="1:12" x14ac:dyDescent="0.15">
      <c r="A4751" s="1" t="s">
        <v>908</v>
      </c>
      <c r="B4751" s="1" t="s">
        <v>1929</v>
      </c>
      <c r="D4751" s="1" t="s">
        <v>1343</v>
      </c>
      <c r="E4751" s="1" t="s">
        <v>2636</v>
      </c>
      <c r="F4751" s="3">
        <v>0</v>
      </c>
      <c r="G4751" s="8" t="s">
        <v>2776</v>
      </c>
      <c r="H4751" s="8" t="s">
        <v>5159</v>
      </c>
      <c r="I4751" s="3">
        <v>28</v>
      </c>
      <c r="J4751" s="3" t="s">
        <v>6487</v>
      </c>
      <c r="K4751" s="17" t="str">
        <f>HYPERLINK("http://ictvonline.org/taxonomyHistory.asp?taxnode_id=20175299","ICTVonline=20175299")</f>
        <v>ICTVonline=20175299</v>
      </c>
      <c r="L4751" s="3">
        <v>4750</v>
      </c>
    </row>
    <row r="4752" spans="1:12" x14ac:dyDescent="0.15">
      <c r="A4752" s="1" t="s">
        <v>908</v>
      </c>
      <c r="B4752" s="1" t="s">
        <v>1929</v>
      </c>
      <c r="D4752" s="1" t="s">
        <v>210</v>
      </c>
      <c r="E4752" s="1" t="s">
        <v>211</v>
      </c>
      <c r="F4752" s="3">
        <v>1</v>
      </c>
      <c r="G4752" s="8" t="s">
        <v>2776</v>
      </c>
      <c r="H4752" s="8" t="s">
        <v>5164</v>
      </c>
      <c r="I4752" s="3">
        <v>26</v>
      </c>
      <c r="J4752" s="3" t="s">
        <v>6488</v>
      </c>
      <c r="K4752" s="17" t="str">
        <f>HYPERLINK("http://ictvonline.org/taxonomyHistory.asp?taxnode_id=20175301","ICTVonline=20175301")</f>
        <v>ICTVonline=20175301</v>
      </c>
      <c r="L4752" s="3">
        <v>4751</v>
      </c>
    </row>
    <row r="4753" spans="1:12" x14ac:dyDescent="0.15">
      <c r="A4753" s="1" t="s">
        <v>908</v>
      </c>
      <c r="B4753" s="1" t="s">
        <v>1929</v>
      </c>
      <c r="D4753" s="1" t="s">
        <v>210</v>
      </c>
      <c r="E4753" s="1" t="s">
        <v>212</v>
      </c>
      <c r="F4753" s="3">
        <v>0</v>
      </c>
      <c r="G4753" s="8" t="s">
        <v>2776</v>
      </c>
      <c r="H4753" s="8" t="s">
        <v>5159</v>
      </c>
      <c r="I4753" s="3">
        <v>26</v>
      </c>
      <c r="J4753" s="3" t="s">
        <v>6488</v>
      </c>
      <c r="K4753" s="17" t="str">
        <f>HYPERLINK("http://ictvonline.org/taxonomyHistory.asp?taxnode_id=20175302","ICTVonline=20175302")</f>
        <v>ICTVonline=20175302</v>
      </c>
      <c r="L4753" s="3">
        <v>4752</v>
      </c>
    </row>
    <row r="4754" spans="1:12" x14ac:dyDescent="0.15">
      <c r="A4754" s="1" t="s">
        <v>908</v>
      </c>
      <c r="B4754" s="1" t="s">
        <v>1929</v>
      </c>
      <c r="D4754" s="1" t="s">
        <v>210</v>
      </c>
      <c r="E4754" s="1" t="s">
        <v>213</v>
      </c>
      <c r="F4754" s="3">
        <v>0</v>
      </c>
      <c r="G4754" s="8" t="s">
        <v>2776</v>
      </c>
      <c r="H4754" s="8" t="s">
        <v>5159</v>
      </c>
      <c r="I4754" s="3">
        <v>26</v>
      </c>
      <c r="J4754" s="3" t="s">
        <v>6488</v>
      </c>
      <c r="K4754" s="17" t="str">
        <f>HYPERLINK("http://ictvonline.org/taxonomyHistory.asp?taxnode_id=20175303","ICTVonline=20175303")</f>
        <v>ICTVonline=20175303</v>
      </c>
      <c r="L4754" s="3">
        <v>4753</v>
      </c>
    </row>
    <row r="4755" spans="1:12" x14ac:dyDescent="0.15">
      <c r="A4755" s="1" t="s">
        <v>908</v>
      </c>
      <c r="B4755" s="1" t="s">
        <v>1929</v>
      </c>
      <c r="D4755" s="1" t="s">
        <v>210</v>
      </c>
      <c r="E4755" s="1" t="s">
        <v>2637</v>
      </c>
      <c r="F4755" s="3">
        <v>0</v>
      </c>
      <c r="G4755" s="8" t="s">
        <v>2776</v>
      </c>
      <c r="H4755" s="8" t="s">
        <v>5159</v>
      </c>
      <c r="I4755" s="3">
        <v>28</v>
      </c>
      <c r="J4755" s="3" t="s">
        <v>6487</v>
      </c>
      <c r="K4755" s="17" t="str">
        <f>HYPERLINK("http://ictvonline.org/taxonomyHistory.asp?taxnode_id=20175304","ICTVonline=20175304")</f>
        <v>ICTVonline=20175304</v>
      </c>
      <c r="L4755" s="3">
        <v>4754</v>
      </c>
    </row>
    <row r="4756" spans="1:12" x14ac:dyDescent="0.15">
      <c r="A4756" s="1" t="s">
        <v>908</v>
      </c>
      <c r="B4756" s="1" t="s">
        <v>1929</v>
      </c>
      <c r="D4756" s="1" t="s">
        <v>776</v>
      </c>
      <c r="E4756" s="1" t="s">
        <v>2638</v>
      </c>
      <c r="F4756" s="3">
        <v>0</v>
      </c>
      <c r="G4756" s="8" t="s">
        <v>2776</v>
      </c>
      <c r="H4756" s="8" t="s">
        <v>5159</v>
      </c>
      <c r="I4756" s="3">
        <v>28</v>
      </c>
      <c r="J4756" s="3" t="s">
        <v>6487</v>
      </c>
      <c r="K4756" s="17" t="str">
        <f>HYPERLINK("http://ictvonline.org/taxonomyHistory.asp?taxnode_id=20175306","ICTVonline=20175306")</f>
        <v>ICTVonline=20175306</v>
      </c>
      <c r="L4756" s="3">
        <v>4755</v>
      </c>
    </row>
    <row r="4757" spans="1:12" x14ac:dyDescent="0.15">
      <c r="A4757" s="1" t="s">
        <v>908</v>
      </c>
      <c r="B4757" s="1" t="s">
        <v>1929</v>
      </c>
      <c r="D4757" s="1" t="s">
        <v>776</v>
      </c>
      <c r="E4757" s="1" t="s">
        <v>2639</v>
      </c>
      <c r="F4757" s="3">
        <v>0</v>
      </c>
      <c r="G4757" s="8" t="s">
        <v>2776</v>
      </c>
      <c r="H4757" s="8" t="s">
        <v>5159</v>
      </c>
      <c r="I4757" s="3">
        <v>28</v>
      </c>
      <c r="J4757" s="3" t="s">
        <v>6487</v>
      </c>
      <c r="K4757" s="17" t="str">
        <f>HYPERLINK("http://ictvonline.org/taxonomyHistory.asp?taxnode_id=20175307","ICTVonline=20175307")</f>
        <v>ICTVonline=20175307</v>
      </c>
      <c r="L4757" s="3">
        <v>4756</v>
      </c>
    </row>
    <row r="4758" spans="1:12" x14ac:dyDescent="0.15">
      <c r="A4758" s="1" t="s">
        <v>908</v>
      </c>
      <c r="B4758" s="1" t="s">
        <v>1929</v>
      </c>
      <c r="D4758" s="1" t="s">
        <v>776</v>
      </c>
      <c r="E4758" s="1" t="s">
        <v>1246</v>
      </c>
      <c r="F4758" s="3">
        <v>0</v>
      </c>
      <c r="G4758" s="8" t="s">
        <v>2776</v>
      </c>
      <c r="H4758" s="8" t="s">
        <v>5159</v>
      </c>
      <c r="I4758" s="3">
        <v>25</v>
      </c>
      <c r="J4758" s="3" t="s">
        <v>6489</v>
      </c>
      <c r="K4758" s="17" t="str">
        <f>HYPERLINK("http://ictvonline.org/taxonomyHistory.asp?taxnode_id=20175308","ICTVonline=20175308")</f>
        <v>ICTVonline=20175308</v>
      </c>
      <c r="L4758" s="3">
        <v>4757</v>
      </c>
    </row>
    <row r="4759" spans="1:12" x14ac:dyDescent="0.15">
      <c r="A4759" s="1" t="s">
        <v>908</v>
      </c>
      <c r="B4759" s="1" t="s">
        <v>1929</v>
      </c>
      <c r="D4759" s="1" t="s">
        <v>776</v>
      </c>
      <c r="E4759" s="1" t="s">
        <v>1247</v>
      </c>
      <c r="F4759" s="3">
        <v>0</v>
      </c>
      <c r="G4759" s="8" t="s">
        <v>2776</v>
      </c>
      <c r="H4759" s="8" t="s">
        <v>5159</v>
      </c>
      <c r="I4759" s="3">
        <v>25</v>
      </c>
      <c r="J4759" s="3" t="s">
        <v>6489</v>
      </c>
      <c r="K4759" s="17" t="str">
        <f>HYPERLINK("http://ictvonline.org/taxonomyHistory.asp?taxnode_id=20175309","ICTVonline=20175309")</f>
        <v>ICTVonline=20175309</v>
      </c>
      <c r="L4759" s="3">
        <v>4758</v>
      </c>
    </row>
    <row r="4760" spans="1:12" x14ac:dyDescent="0.15">
      <c r="A4760" s="1" t="s">
        <v>908</v>
      </c>
      <c r="B4760" s="1" t="s">
        <v>1929</v>
      </c>
      <c r="D4760" s="1" t="s">
        <v>776</v>
      </c>
      <c r="E4760" s="1" t="s">
        <v>1248</v>
      </c>
      <c r="F4760" s="3">
        <v>0</v>
      </c>
      <c r="G4760" s="8" t="s">
        <v>2776</v>
      </c>
      <c r="H4760" s="8" t="s">
        <v>5159</v>
      </c>
      <c r="I4760" s="3">
        <v>25</v>
      </c>
      <c r="J4760" s="3" t="s">
        <v>6489</v>
      </c>
      <c r="K4760" s="17" t="str">
        <f>HYPERLINK("http://ictvonline.org/taxonomyHistory.asp?taxnode_id=20175310","ICTVonline=20175310")</f>
        <v>ICTVonline=20175310</v>
      </c>
      <c r="L4760" s="3">
        <v>4759</v>
      </c>
    </row>
    <row r="4761" spans="1:12" x14ac:dyDescent="0.15">
      <c r="A4761" s="1" t="s">
        <v>908</v>
      </c>
      <c r="B4761" s="1" t="s">
        <v>1929</v>
      </c>
      <c r="D4761" s="1" t="s">
        <v>776</v>
      </c>
      <c r="E4761" s="1" t="s">
        <v>1249</v>
      </c>
      <c r="F4761" s="3">
        <v>0</v>
      </c>
      <c r="G4761" s="8" t="s">
        <v>2776</v>
      </c>
      <c r="H4761" s="8" t="s">
        <v>5159</v>
      </c>
      <c r="I4761" s="3">
        <v>25</v>
      </c>
      <c r="J4761" s="3" t="s">
        <v>6489</v>
      </c>
      <c r="K4761" s="17" t="str">
        <f>HYPERLINK("http://ictvonline.org/taxonomyHistory.asp?taxnode_id=20175311","ICTVonline=20175311")</f>
        <v>ICTVonline=20175311</v>
      </c>
      <c r="L4761" s="3">
        <v>4760</v>
      </c>
    </row>
    <row r="4762" spans="1:12" x14ac:dyDescent="0.15">
      <c r="A4762" s="1" t="s">
        <v>908</v>
      </c>
      <c r="B4762" s="1" t="s">
        <v>1929</v>
      </c>
      <c r="D4762" s="1" t="s">
        <v>776</v>
      </c>
      <c r="E4762" s="1" t="s">
        <v>780</v>
      </c>
      <c r="F4762" s="3">
        <v>0</v>
      </c>
      <c r="G4762" s="8" t="s">
        <v>2776</v>
      </c>
      <c r="H4762" s="8" t="s">
        <v>5159</v>
      </c>
      <c r="I4762" s="3">
        <v>25</v>
      </c>
      <c r="J4762" s="3" t="s">
        <v>6489</v>
      </c>
      <c r="K4762" s="17" t="str">
        <f>HYPERLINK("http://ictvonline.org/taxonomyHistory.asp?taxnode_id=20175312","ICTVonline=20175312")</f>
        <v>ICTVonline=20175312</v>
      </c>
      <c r="L4762" s="3">
        <v>4761</v>
      </c>
    </row>
    <row r="4763" spans="1:12" x14ac:dyDescent="0.15">
      <c r="A4763" s="1" t="s">
        <v>908</v>
      </c>
      <c r="B4763" s="1" t="s">
        <v>1929</v>
      </c>
      <c r="D4763" s="1" t="s">
        <v>776</v>
      </c>
      <c r="E4763" s="1" t="s">
        <v>1531</v>
      </c>
      <c r="F4763" s="3">
        <v>1</v>
      </c>
      <c r="G4763" s="8" t="s">
        <v>2776</v>
      </c>
      <c r="H4763" s="8" t="s">
        <v>5165</v>
      </c>
      <c r="I4763" s="3">
        <v>25</v>
      </c>
      <c r="J4763" s="3" t="s">
        <v>6489</v>
      </c>
      <c r="K4763" s="17" t="str">
        <f>HYPERLINK("http://ictvonline.org/taxonomyHistory.asp?taxnode_id=20175313","ICTVonline=20175313")</f>
        <v>ICTVonline=20175313</v>
      </c>
      <c r="L4763" s="3">
        <v>4762</v>
      </c>
    </row>
    <row r="4764" spans="1:12" x14ac:dyDescent="0.15">
      <c r="A4764" s="1" t="s">
        <v>908</v>
      </c>
      <c r="B4764" s="1" t="s">
        <v>1929</v>
      </c>
      <c r="D4764" s="1" t="s">
        <v>776</v>
      </c>
      <c r="E4764" s="1" t="s">
        <v>781</v>
      </c>
      <c r="F4764" s="3">
        <v>0</v>
      </c>
      <c r="G4764" s="8" t="s">
        <v>2776</v>
      </c>
      <c r="H4764" s="8" t="s">
        <v>5159</v>
      </c>
      <c r="I4764" s="3">
        <v>25</v>
      </c>
      <c r="J4764" s="3" t="s">
        <v>6489</v>
      </c>
      <c r="K4764" s="17" t="str">
        <f>HYPERLINK("http://ictvonline.org/taxonomyHistory.asp?taxnode_id=20175314","ICTVonline=20175314")</f>
        <v>ICTVonline=20175314</v>
      </c>
      <c r="L4764" s="3">
        <v>4763</v>
      </c>
    </row>
    <row r="4765" spans="1:12" x14ac:dyDescent="0.15">
      <c r="A4765" s="1" t="s">
        <v>908</v>
      </c>
      <c r="B4765" s="1" t="s">
        <v>1929</v>
      </c>
      <c r="D4765" s="1" t="s">
        <v>776</v>
      </c>
      <c r="E4765" s="1" t="s">
        <v>2640</v>
      </c>
      <c r="F4765" s="3">
        <v>0</v>
      </c>
      <c r="G4765" s="8" t="s">
        <v>2776</v>
      </c>
      <c r="H4765" s="8" t="s">
        <v>5159</v>
      </c>
      <c r="I4765" s="3">
        <v>28</v>
      </c>
      <c r="J4765" s="3" t="s">
        <v>6487</v>
      </c>
      <c r="K4765" s="17" t="str">
        <f>HYPERLINK("http://ictvonline.org/taxonomyHistory.asp?taxnode_id=20175315","ICTVonline=20175315")</f>
        <v>ICTVonline=20175315</v>
      </c>
      <c r="L4765" s="3">
        <v>4764</v>
      </c>
    </row>
    <row r="4766" spans="1:12" x14ac:dyDescent="0.15">
      <c r="A4766" s="1" t="s">
        <v>908</v>
      </c>
      <c r="B4766" s="1" t="s">
        <v>1929</v>
      </c>
      <c r="D4766" s="1" t="s">
        <v>776</v>
      </c>
      <c r="E4766" s="1" t="s">
        <v>2641</v>
      </c>
      <c r="F4766" s="3">
        <v>0</v>
      </c>
      <c r="G4766" s="8" t="s">
        <v>2776</v>
      </c>
      <c r="H4766" s="8" t="s">
        <v>5159</v>
      </c>
      <c r="I4766" s="3">
        <v>28</v>
      </c>
      <c r="J4766" s="3" t="s">
        <v>6487</v>
      </c>
      <c r="K4766" s="17" t="str">
        <f>HYPERLINK("http://ictvonline.org/taxonomyHistory.asp?taxnode_id=20175316","ICTVonline=20175316")</f>
        <v>ICTVonline=20175316</v>
      </c>
      <c r="L4766" s="3">
        <v>4765</v>
      </c>
    </row>
    <row r="4767" spans="1:12" x14ac:dyDescent="0.15">
      <c r="A4767" s="1" t="s">
        <v>908</v>
      </c>
      <c r="B4767" s="1" t="s">
        <v>1929</v>
      </c>
      <c r="D4767" s="1" t="s">
        <v>776</v>
      </c>
      <c r="E4767" s="1" t="s">
        <v>782</v>
      </c>
      <c r="F4767" s="3">
        <v>0</v>
      </c>
      <c r="G4767" s="8" t="s">
        <v>2776</v>
      </c>
      <c r="H4767" s="8" t="s">
        <v>5159</v>
      </c>
      <c r="I4767" s="3">
        <v>25</v>
      </c>
      <c r="J4767" s="3" t="s">
        <v>6489</v>
      </c>
      <c r="K4767" s="17" t="str">
        <f>HYPERLINK("http://ictvonline.org/taxonomyHistory.asp?taxnode_id=20175317","ICTVonline=20175317")</f>
        <v>ICTVonline=20175317</v>
      </c>
      <c r="L4767" s="3">
        <v>4766</v>
      </c>
    </row>
    <row r="4768" spans="1:12" x14ac:dyDescent="0.15">
      <c r="A4768" s="1" t="s">
        <v>908</v>
      </c>
      <c r="B4768" s="1" t="s">
        <v>1929</v>
      </c>
      <c r="D4768" s="1" t="s">
        <v>776</v>
      </c>
      <c r="E4768" s="1" t="s">
        <v>783</v>
      </c>
      <c r="F4768" s="3">
        <v>0</v>
      </c>
      <c r="G4768" s="8" t="s">
        <v>2776</v>
      </c>
      <c r="H4768" s="8" t="s">
        <v>5159</v>
      </c>
      <c r="I4768" s="3">
        <v>25</v>
      </c>
      <c r="J4768" s="3" t="s">
        <v>6489</v>
      </c>
      <c r="K4768" s="17" t="str">
        <f>HYPERLINK("http://ictvonline.org/taxonomyHistory.asp?taxnode_id=20175318","ICTVonline=20175318")</f>
        <v>ICTVonline=20175318</v>
      </c>
      <c r="L4768" s="3">
        <v>4767</v>
      </c>
    </row>
    <row r="4769" spans="1:12" x14ac:dyDescent="0.15">
      <c r="A4769" s="1" t="s">
        <v>908</v>
      </c>
      <c r="B4769" s="1" t="s">
        <v>1929</v>
      </c>
      <c r="D4769" s="1" t="s">
        <v>776</v>
      </c>
      <c r="E4769" s="1" t="s">
        <v>2642</v>
      </c>
      <c r="F4769" s="3">
        <v>0</v>
      </c>
      <c r="G4769" s="8" t="s">
        <v>2776</v>
      </c>
      <c r="H4769" s="8" t="s">
        <v>5159</v>
      </c>
      <c r="I4769" s="3">
        <v>28</v>
      </c>
      <c r="J4769" s="3" t="s">
        <v>6487</v>
      </c>
      <c r="K4769" s="17" t="str">
        <f>HYPERLINK("http://ictvonline.org/taxonomyHistory.asp?taxnode_id=20175319","ICTVonline=20175319")</f>
        <v>ICTVonline=20175319</v>
      </c>
      <c r="L4769" s="3">
        <v>4768</v>
      </c>
    </row>
    <row r="4770" spans="1:12" x14ac:dyDescent="0.15">
      <c r="A4770" s="1" t="s">
        <v>908</v>
      </c>
      <c r="B4770" s="1" t="s">
        <v>4307</v>
      </c>
      <c r="D4770" s="1" t="s">
        <v>4308</v>
      </c>
      <c r="E4770" s="1" t="s">
        <v>5149</v>
      </c>
      <c r="F4770" s="3">
        <v>1</v>
      </c>
      <c r="G4770" s="8" t="s">
        <v>2771</v>
      </c>
      <c r="H4770" s="8" t="s">
        <v>5159</v>
      </c>
      <c r="I4770" s="3">
        <v>31</v>
      </c>
      <c r="J4770" s="3" t="s">
        <v>6490</v>
      </c>
      <c r="K4770" s="17" t="str">
        <f>HYPERLINK("http://ictvonline.org/taxonomyHistory.asp?taxnode_id=20175323","ICTVonline=20175323")</f>
        <v>ICTVonline=20175323</v>
      </c>
      <c r="L4770" s="3">
        <v>4769</v>
      </c>
    </row>
    <row r="4771" spans="1:12" x14ac:dyDescent="0.15">
      <c r="A4771" s="1" t="s">
        <v>908</v>
      </c>
      <c r="B4771" s="1" t="s">
        <v>4307</v>
      </c>
      <c r="D4771" s="1" t="s">
        <v>4308</v>
      </c>
      <c r="E4771" s="1" t="s">
        <v>1642</v>
      </c>
      <c r="F4771" s="3">
        <v>0</v>
      </c>
      <c r="G4771" s="8" t="s">
        <v>2771</v>
      </c>
      <c r="H4771" s="8" t="s">
        <v>5161</v>
      </c>
      <c r="I4771" s="3">
        <v>31</v>
      </c>
      <c r="J4771" s="3" t="s">
        <v>6490</v>
      </c>
      <c r="K4771" s="17" t="str">
        <f>HYPERLINK("http://ictvonline.org/taxonomyHistory.asp?taxnode_id=20175324","ICTVonline=20175324")</f>
        <v>ICTVonline=20175324</v>
      </c>
      <c r="L4771" s="3">
        <v>4770</v>
      </c>
    </row>
    <row r="4772" spans="1:12" x14ac:dyDescent="0.15">
      <c r="A4772" s="1" t="s">
        <v>908</v>
      </c>
      <c r="B4772" s="1" t="s">
        <v>2643</v>
      </c>
      <c r="D4772" s="1" t="s">
        <v>2644</v>
      </c>
      <c r="E4772" s="1" t="s">
        <v>2645</v>
      </c>
      <c r="F4772" s="3">
        <v>1</v>
      </c>
      <c r="G4772" s="8" t="s">
        <v>2771</v>
      </c>
      <c r="H4772" s="8" t="s">
        <v>5159</v>
      </c>
      <c r="I4772" s="3">
        <v>28</v>
      </c>
      <c r="J4772" s="3" t="s">
        <v>6491</v>
      </c>
      <c r="K4772" s="17" t="str">
        <f>HYPERLINK("http://ictvonline.org/taxonomyHistory.asp?taxnode_id=20175328","ICTVonline=20175328")</f>
        <v>ICTVonline=20175328</v>
      </c>
      <c r="L4772" s="3">
        <v>4771</v>
      </c>
    </row>
    <row r="4773" spans="1:12" x14ac:dyDescent="0.15">
      <c r="A4773" s="1" t="s">
        <v>908</v>
      </c>
      <c r="B4773" s="1" t="s">
        <v>2643</v>
      </c>
      <c r="D4773" s="1" t="s">
        <v>2644</v>
      </c>
      <c r="E4773" s="1" t="s">
        <v>2646</v>
      </c>
      <c r="F4773" s="3">
        <v>0</v>
      </c>
      <c r="G4773" s="8" t="s">
        <v>2771</v>
      </c>
      <c r="H4773" s="8" t="s">
        <v>5159</v>
      </c>
      <c r="I4773" s="3">
        <v>28</v>
      </c>
      <c r="J4773" s="3" t="s">
        <v>6491</v>
      </c>
      <c r="K4773" s="17" t="str">
        <f>HYPERLINK("http://ictvonline.org/taxonomyHistory.asp?taxnode_id=20175329","ICTVonline=20175329")</f>
        <v>ICTVonline=20175329</v>
      </c>
      <c r="L4773" s="3">
        <v>4772</v>
      </c>
    </row>
    <row r="4774" spans="1:12" x14ac:dyDescent="0.15">
      <c r="A4774" s="1" t="s">
        <v>908</v>
      </c>
      <c r="B4774" s="1" t="s">
        <v>908</v>
      </c>
      <c r="D4774" s="1" t="s">
        <v>4167</v>
      </c>
      <c r="E4774" s="1" t="s">
        <v>4168</v>
      </c>
      <c r="F4774" s="3">
        <v>1</v>
      </c>
      <c r="G4774" s="8" t="s">
        <v>2773</v>
      </c>
      <c r="H4774" s="8" t="s">
        <v>5159</v>
      </c>
      <c r="I4774" s="3">
        <v>30</v>
      </c>
      <c r="J4774" s="3" t="s">
        <v>6492</v>
      </c>
      <c r="K4774" s="17" t="str">
        <f>HYPERLINK("http://ictvonline.org/taxonomyHistory.asp?taxnode_id=20175333","ICTVonline=20175333")</f>
        <v>ICTVonline=20175333</v>
      </c>
      <c r="L4774" s="3">
        <v>4773</v>
      </c>
    </row>
    <row r="4775" spans="1:12" x14ac:dyDescent="0.15">
      <c r="A4775" s="1" t="s">
        <v>908</v>
      </c>
      <c r="B4775" s="1" t="s">
        <v>908</v>
      </c>
      <c r="D4775" s="1" t="s">
        <v>4167</v>
      </c>
      <c r="E4775" s="1" t="s">
        <v>4169</v>
      </c>
      <c r="F4775" s="3">
        <v>0</v>
      </c>
      <c r="G4775" s="8" t="s">
        <v>2773</v>
      </c>
      <c r="H4775" s="8" t="s">
        <v>5159</v>
      </c>
      <c r="I4775" s="3">
        <v>30</v>
      </c>
      <c r="J4775" s="3" t="s">
        <v>6492</v>
      </c>
      <c r="K4775" s="17" t="str">
        <f>HYPERLINK("http://ictvonline.org/taxonomyHistory.asp?taxnode_id=20175334","ICTVonline=20175334")</f>
        <v>ICTVonline=20175334</v>
      </c>
      <c r="L4775" s="3">
        <v>4774</v>
      </c>
    </row>
    <row r="4776" spans="1:12" x14ac:dyDescent="0.15">
      <c r="A4776" s="1" t="s">
        <v>908</v>
      </c>
      <c r="B4776" s="1" t="s">
        <v>908</v>
      </c>
      <c r="D4776" s="1" t="s">
        <v>4167</v>
      </c>
      <c r="E4776" s="1" t="s">
        <v>4170</v>
      </c>
      <c r="F4776" s="3">
        <v>0</v>
      </c>
      <c r="G4776" s="8" t="s">
        <v>2773</v>
      </c>
      <c r="H4776" s="8" t="s">
        <v>5159</v>
      </c>
      <c r="I4776" s="3">
        <v>30</v>
      </c>
      <c r="J4776" s="3" t="s">
        <v>6492</v>
      </c>
      <c r="K4776" s="17" t="str">
        <f>HYPERLINK("http://ictvonline.org/taxonomyHistory.asp?taxnode_id=20175335","ICTVonline=20175335")</f>
        <v>ICTVonline=20175335</v>
      </c>
      <c r="L4776" s="3">
        <v>4775</v>
      </c>
    </row>
    <row r="4777" spans="1:12" x14ac:dyDescent="0.15">
      <c r="A4777" s="1" t="s">
        <v>908</v>
      </c>
      <c r="B4777" s="1" t="s">
        <v>908</v>
      </c>
      <c r="D4777" s="1" t="s">
        <v>4171</v>
      </c>
      <c r="E4777" s="1" t="s">
        <v>4172</v>
      </c>
      <c r="F4777" s="3">
        <v>1</v>
      </c>
      <c r="G4777" s="8" t="s">
        <v>2773</v>
      </c>
      <c r="H4777" s="8" t="s">
        <v>5159</v>
      </c>
      <c r="I4777" s="3">
        <v>30</v>
      </c>
      <c r="J4777" s="3" t="s">
        <v>6492</v>
      </c>
      <c r="K4777" s="17" t="str">
        <f>HYPERLINK("http://ictvonline.org/taxonomyHistory.asp?taxnode_id=20175337","ICTVonline=20175337")</f>
        <v>ICTVonline=20175337</v>
      </c>
      <c r="L4777" s="3">
        <v>4776</v>
      </c>
    </row>
    <row r="4778" spans="1:12" x14ac:dyDescent="0.15">
      <c r="A4778" s="1" t="s">
        <v>908</v>
      </c>
      <c r="B4778" s="1" t="s">
        <v>908</v>
      </c>
      <c r="D4778" s="1" t="s">
        <v>5150</v>
      </c>
      <c r="E4778" s="1" t="s">
        <v>5151</v>
      </c>
      <c r="F4778" s="3">
        <v>1</v>
      </c>
      <c r="G4778" s="8" t="s">
        <v>2773</v>
      </c>
      <c r="H4778" s="8" t="s">
        <v>5159</v>
      </c>
      <c r="I4778" s="3">
        <v>31</v>
      </c>
      <c r="J4778" s="3" t="s">
        <v>6493</v>
      </c>
      <c r="K4778" s="17" t="str">
        <f>HYPERLINK("http://ictvonline.org/taxonomyHistory.asp?taxnode_id=20175341","ICTVonline=20175341")</f>
        <v>ICTVonline=20175341</v>
      </c>
      <c r="L4778" s="3">
        <v>4777</v>
      </c>
    </row>
    <row r="4779" spans="1:12" x14ac:dyDescent="0.15">
      <c r="A4779" s="1" t="s">
        <v>908</v>
      </c>
      <c r="B4779" s="1" t="s">
        <v>908</v>
      </c>
      <c r="D4779" s="1" t="s">
        <v>4173</v>
      </c>
      <c r="E4779" s="1" t="s">
        <v>4174</v>
      </c>
      <c r="F4779" s="3">
        <v>1</v>
      </c>
      <c r="G4779" s="8" t="s">
        <v>2776</v>
      </c>
      <c r="H4779" s="8" t="s">
        <v>5159</v>
      </c>
      <c r="I4779" s="3">
        <v>30</v>
      </c>
      <c r="J4779" s="3" t="s">
        <v>6494</v>
      </c>
      <c r="K4779" s="17" t="str">
        <f>HYPERLINK("http://ictvonline.org/taxonomyHistory.asp?taxnode_id=20175343","ICTVonline=20175343")</f>
        <v>ICTVonline=20175343</v>
      </c>
      <c r="L4779" s="3">
        <v>4778</v>
      </c>
    </row>
    <row r="4780" spans="1:12" x14ac:dyDescent="0.15">
      <c r="A4780" s="1" t="s">
        <v>908</v>
      </c>
      <c r="B4780" s="1" t="s">
        <v>908</v>
      </c>
      <c r="D4780" s="1" t="s">
        <v>2012</v>
      </c>
      <c r="E4780" s="1" t="s">
        <v>2013</v>
      </c>
      <c r="F4780" s="3">
        <v>1</v>
      </c>
      <c r="G4780" s="8" t="s">
        <v>2773</v>
      </c>
      <c r="H4780" s="8" t="s">
        <v>5164</v>
      </c>
      <c r="I4780" s="3">
        <v>25</v>
      </c>
      <c r="J4780" s="3" t="s">
        <v>6495</v>
      </c>
      <c r="K4780" s="17" t="str">
        <f>HYPERLINK("http://ictvonline.org/taxonomyHistory.asp?taxnode_id=20175345","ICTVonline=20175345")</f>
        <v>ICTVonline=20175345</v>
      </c>
      <c r="L4780" s="3">
        <v>4779</v>
      </c>
    </row>
    <row r="4781" spans="1:12" x14ac:dyDescent="0.15">
      <c r="A4781" s="1" t="s">
        <v>908</v>
      </c>
      <c r="B4781" s="1" t="s">
        <v>908</v>
      </c>
      <c r="D4781" s="1" t="s">
        <v>2012</v>
      </c>
      <c r="E4781" s="1" t="s">
        <v>5152</v>
      </c>
      <c r="F4781" s="3">
        <v>0</v>
      </c>
      <c r="G4781" s="8" t="s">
        <v>2773</v>
      </c>
      <c r="H4781" s="8" t="s">
        <v>5159</v>
      </c>
      <c r="I4781" s="3">
        <v>31</v>
      </c>
      <c r="J4781" s="3" t="s">
        <v>6496</v>
      </c>
      <c r="K4781" s="17" t="str">
        <f>HYPERLINK("http://ictvonline.org/taxonomyHistory.asp?taxnode_id=20175346","ICTVonline=20175346")</f>
        <v>ICTVonline=20175346</v>
      </c>
      <c r="L4781" s="3">
        <v>4780</v>
      </c>
    </row>
    <row r="4782" spans="1:12" x14ac:dyDescent="0.15">
      <c r="A4782" s="1" t="s">
        <v>908</v>
      </c>
      <c r="B4782" s="1" t="s">
        <v>908</v>
      </c>
      <c r="D4782" s="1" t="s">
        <v>1267</v>
      </c>
      <c r="E4782" s="1" t="s">
        <v>1268</v>
      </c>
      <c r="F4782" s="3">
        <v>1</v>
      </c>
      <c r="G4782" s="8" t="s">
        <v>2772</v>
      </c>
      <c r="H4782" s="8" t="s">
        <v>5164</v>
      </c>
      <c r="I4782" s="3">
        <v>13</v>
      </c>
      <c r="J4782" s="3" t="s">
        <v>6016</v>
      </c>
      <c r="K4782" s="17" t="str">
        <f>HYPERLINK("http://ictvonline.org/taxonomyHistory.asp?taxnode_id=20175348","ICTVonline=20175348")</f>
        <v>ICTVonline=20175348</v>
      </c>
      <c r="L4782" s="3">
        <v>4781</v>
      </c>
    </row>
    <row r="4783" spans="1:12" x14ac:dyDescent="0.15">
      <c r="A4783" s="1" t="s">
        <v>908</v>
      </c>
      <c r="B4783" s="1" t="s">
        <v>908</v>
      </c>
      <c r="D4783" s="1" t="s">
        <v>214</v>
      </c>
      <c r="E4783" s="1" t="s">
        <v>215</v>
      </c>
      <c r="F4783" s="3">
        <v>1</v>
      </c>
      <c r="G4783" s="8" t="s">
        <v>2771</v>
      </c>
      <c r="H4783" s="8" t="s">
        <v>5164</v>
      </c>
      <c r="I4783" s="3">
        <v>26</v>
      </c>
      <c r="J4783" s="3" t="s">
        <v>6497</v>
      </c>
      <c r="K4783" s="17" t="str">
        <f>HYPERLINK("http://ictvonline.org/taxonomyHistory.asp?taxnode_id=20175350","ICTVonline=20175350")</f>
        <v>ICTVonline=20175350</v>
      </c>
      <c r="L4783" s="3">
        <v>4782</v>
      </c>
    </row>
    <row r="4784" spans="1:12" x14ac:dyDescent="0.15">
      <c r="A4784" s="1" t="s">
        <v>908</v>
      </c>
      <c r="B4784" s="1" t="s">
        <v>908</v>
      </c>
      <c r="D4784" s="1" t="s">
        <v>2647</v>
      </c>
      <c r="E4784" s="1" t="s">
        <v>2648</v>
      </c>
      <c r="F4784" s="3">
        <v>1</v>
      </c>
      <c r="G4784" s="8" t="s">
        <v>2773</v>
      </c>
      <c r="H4784" s="8" t="s">
        <v>5159</v>
      </c>
      <c r="I4784" s="3">
        <v>28</v>
      </c>
      <c r="J4784" s="3" t="s">
        <v>6498</v>
      </c>
      <c r="K4784" s="17" t="str">
        <f>HYPERLINK("http://ictvonline.org/taxonomyHistory.asp?taxnode_id=20175352","ICTVonline=20175352")</f>
        <v>ICTVonline=20175352</v>
      </c>
      <c r="L4784" s="3">
        <v>4783</v>
      </c>
    </row>
    <row r="4785" spans="1:12" x14ac:dyDescent="0.15">
      <c r="A4785" s="1" t="s">
        <v>908</v>
      </c>
      <c r="B4785" s="1" t="s">
        <v>908</v>
      </c>
      <c r="D4785" s="1" t="s">
        <v>266</v>
      </c>
      <c r="E4785" s="1" t="s">
        <v>267</v>
      </c>
      <c r="F4785" s="3">
        <v>1</v>
      </c>
      <c r="G4785" s="8" t="s">
        <v>2773</v>
      </c>
      <c r="H4785" s="8" t="s">
        <v>5164</v>
      </c>
      <c r="I4785" s="3">
        <v>13</v>
      </c>
      <c r="J4785" s="3" t="s">
        <v>6016</v>
      </c>
      <c r="K4785" s="17" t="str">
        <f>HYPERLINK("http://ictvonline.org/taxonomyHistory.asp?taxnode_id=20175354","ICTVonline=20175354")</f>
        <v>ICTVonline=20175354</v>
      </c>
      <c r="L4785" s="3">
        <v>4784</v>
      </c>
    </row>
    <row r="4786" spans="1:12" x14ac:dyDescent="0.15">
      <c r="A4786" s="1" t="s">
        <v>908</v>
      </c>
      <c r="B4786" s="1" t="s">
        <v>908</v>
      </c>
      <c r="D4786" s="1" t="s">
        <v>268</v>
      </c>
      <c r="E4786" s="1" t="s">
        <v>269</v>
      </c>
      <c r="F4786" s="3">
        <v>0</v>
      </c>
      <c r="G4786" s="8" t="s">
        <v>2773</v>
      </c>
      <c r="H4786" s="8" t="s">
        <v>5159</v>
      </c>
      <c r="I4786" s="3">
        <v>18</v>
      </c>
      <c r="J4786" s="3" t="s">
        <v>5597</v>
      </c>
      <c r="K4786" s="17" t="str">
        <f>HYPERLINK("http://ictvonline.org/taxonomyHistory.asp?taxnode_id=20175356","ICTVonline=20175356")</f>
        <v>ICTVonline=20175356</v>
      </c>
      <c r="L4786" s="3">
        <v>4785</v>
      </c>
    </row>
    <row r="4787" spans="1:12" x14ac:dyDescent="0.15">
      <c r="A4787" s="1" t="s">
        <v>908</v>
      </c>
      <c r="B4787" s="1" t="s">
        <v>908</v>
      </c>
      <c r="D4787" s="1" t="s">
        <v>268</v>
      </c>
      <c r="E4787" s="1" t="s">
        <v>270</v>
      </c>
      <c r="F4787" s="3">
        <v>0</v>
      </c>
      <c r="G4787" s="8" t="s">
        <v>2773</v>
      </c>
      <c r="H4787" s="8" t="s">
        <v>5159</v>
      </c>
      <c r="I4787" s="3">
        <v>18</v>
      </c>
      <c r="J4787" s="3" t="s">
        <v>5597</v>
      </c>
      <c r="K4787" s="17" t="str">
        <f>HYPERLINK("http://ictvonline.org/taxonomyHistory.asp?taxnode_id=20175357","ICTVonline=20175357")</f>
        <v>ICTVonline=20175357</v>
      </c>
      <c r="L4787" s="3">
        <v>4786</v>
      </c>
    </row>
    <row r="4788" spans="1:12" x14ac:dyDescent="0.15">
      <c r="A4788" s="1" t="s">
        <v>908</v>
      </c>
      <c r="B4788" s="1" t="s">
        <v>908</v>
      </c>
      <c r="D4788" s="1" t="s">
        <v>268</v>
      </c>
      <c r="E4788" s="1" t="s">
        <v>271</v>
      </c>
      <c r="F4788" s="3">
        <v>1</v>
      </c>
      <c r="G4788" s="8" t="s">
        <v>2773</v>
      </c>
      <c r="H4788" s="8" t="s">
        <v>5164</v>
      </c>
      <c r="I4788" s="3">
        <v>17</v>
      </c>
      <c r="J4788" s="3" t="s">
        <v>5970</v>
      </c>
      <c r="K4788" s="17" t="str">
        <f>HYPERLINK("http://ictvonline.org/taxonomyHistory.asp?taxnode_id=20175358","ICTVonline=20175358")</f>
        <v>ICTVonline=20175358</v>
      </c>
      <c r="L4788" s="3">
        <v>4787</v>
      </c>
    </row>
    <row r="4789" spans="1:12" x14ac:dyDescent="0.15">
      <c r="A4789" s="1" t="s">
        <v>908</v>
      </c>
      <c r="B4789" s="1" t="s">
        <v>908</v>
      </c>
      <c r="D4789" s="1" t="s">
        <v>4175</v>
      </c>
      <c r="E4789" s="1" t="s">
        <v>4176</v>
      </c>
      <c r="F4789" s="3">
        <v>1</v>
      </c>
      <c r="G4789" s="8" t="s">
        <v>2773</v>
      </c>
      <c r="H4789" s="8" t="s">
        <v>5159</v>
      </c>
      <c r="I4789" s="3">
        <v>30</v>
      </c>
      <c r="J4789" s="3" t="s">
        <v>6492</v>
      </c>
      <c r="K4789" s="17" t="str">
        <f>HYPERLINK("http://ictvonline.org/taxonomyHistory.asp?taxnode_id=20175360","ICTVonline=20175360")</f>
        <v>ICTVonline=20175360</v>
      </c>
      <c r="L4789" s="3">
        <v>4788</v>
      </c>
    </row>
    <row r="4790" spans="1:12" x14ac:dyDescent="0.15">
      <c r="A4790" s="1" t="s">
        <v>908</v>
      </c>
      <c r="B4790" s="1" t="s">
        <v>908</v>
      </c>
      <c r="D4790" s="1" t="s">
        <v>406</v>
      </c>
      <c r="E4790" s="1" t="s">
        <v>407</v>
      </c>
      <c r="F4790" s="3">
        <v>1</v>
      </c>
      <c r="G4790" s="8" t="s">
        <v>2771</v>
      </c>
      <c r="H4790" s="8" t="s">
        <v>5164</v>
      </c>
      <c r="I4790" s="3">
        <v>10</v>
      </c>
      <c r="J4790" s="3" t="s">
        <v>6499</v>
      </c>
      <c r="K4790" s="17" t="str">
        <f>HYPERLINK("http://ictvonline.org/taxonomyHistory.asp?taxnode_id=20175364","ICTVonline=20175364")</f>
        <v>ICTVonline=20175364</v>
      </c>
      <c r="L4790" s="3">
        <v>4789</v>
      </c>
    </row>
    <row r="4791" spans="1:12" x14ac:dyDescent="0.15">
      <c r="A4791" s="1" t="s">
        <v>908</v>
      </c>
      <c r="B4791" s="1" t="s">
        <v>908</v>
      </c>
      <c r="D4791" s="1" t="s">
        <v>1011</v>
      </c>
      <c r="E4791" s="1" t="s">
        <v>1012</v>
      </c>
      <c r="F4791" s="3">
        <v>1</v>
      </c>
      <c r="G4791" s="8" t="s">
        <v>2771</v>
      </c>
      <c r="H4791" s="8" t="s">
        <v>5164</v>
      </c>
      <c r="I4791" s="3">
        <v>22</v>
      </c>
      <c r="J4791" s="3" t="s">
        <v>6500</v>
      </c>
      <c r="K4791" s="17" t="str">
        <f>HYPERLINK("http://ictvonline.org/taxonomyHistory.asp?taxnode_id=20175366","ICTVonline=20175366")</f>
        <v>ICTVonline=20175366</v>
      </c>
      <c r="L4791" s="3">
        <v>4790</v>
      </c>
    </row>
    <row r="4792" spans="1:12" x14ac:dyDescent="0.15">
      <c r="A4792" s="1" t="s">
        <v>908</v>
      </c>
      <c r="B4792" s="1" t="s">
        <v>908</v>
      </c>
      <c r="D4792" s="1" t="s">
        <v>4177</v>
      </c>
      <c r="E4792" s="1" t="s">
        <v>4178</v>
      </c>
      <c r="F4792" s="3">
        <v>0</v>
      </c>
      <c r="G4792" s="8" t="s">
        <v>2773</v>
      </c>
      <c r="H4792" s="8" t="s">
        <v>5159</v>
      </c>
      <c r="I4792" s="3">
        <v>30</v>
      </c>
      <c r="J4792" s="3" t="s">
        <v>6501</v>
      </c>
      <c r="K4792" s="17" t="str">
        <f>HYPERLINK("http://ictvonline.org/taxonomyHistory.asp?taxnode_id=20175368","ICTVonline=20175368")</f>
        <v>ICTVonline=20175368</v>
      </c>
      <c r="L4792" s="3">
        <v>4791</v>
      </c>
    </row>
    <row r="4793" spans="1:12" x14ac:dyDescent="0.15">
      <c r="A4793" s="1" t="s">
        <v>908</v>
      </c>
      <c r="B4793" s="1" t="s">
        <v>908</v>
      </c>
      <c r="D4793" s="1" t="s">
        <v>4177</v>
      </c>
      <c r="E4793" s="1" t="s">
        <v>4179</v>
      </c>
      <c r="F4793" s="3">
        <v>1</v>
      </c>
      <c r="G4793" s="8" t="s">
        <v>2773</v>
      </c>
      <c r="H4793" s="8" t="s">
        <v>5159</v>
      </c>
      <c r="I4793" s="3">
        <v>30</v>
      </c>
      <c r="J4793" s="3" t="s">
        <v>6501</v>
      </c>
      <c r="K4793" s="17" t="str">
        <f>HYPERLINK("http://ictvonline.org/taxonomyHistory.asp?taxnode_id=20175369","ICTVonline=20175369")</f>
        <v>ICTVonline=20175369</v>
      </c>
      <c r="L4793" s="3">
        <v>4792</v>
      </c>
    </row>
    <row r="4794" spans="1:12" x14ac:dyDescent="0.15">
      <c r="A4794" s="1" t="s">
        <v>908</v>
      </c>
      <c r="B4794" s="1" t="s">
        <v>908</v>
      </c>
      <c r="D4794" s="1" t="s">
        <v>5153</v>
      </c>
      <c r="E4794" s="1" t="s">
        <v>5154</v>
      </c>
      <c r="F4794" s="3">
        <v>1</v>
      </c>
      <c r="G4794" s="8" t="s">
        <v>2772</v>
      </c>
      <c r="H4794" s="8" t="s">
        <v>5159</v>
      </c>
      <c r="I4794" s="3">
        <v>31</v>
      </c>
      <c r="J4794" s="3" t="s">
        <v>6502</v>
      </c>
      <c r="K4794" s="17" t="str">
        <f>HYPERLINK("http://ictvonline.org/taxonomyHistory.asp?taxnode_id=20175391","ICTVonline=20175391")</f>
        <v>ICTVonline=20175391</v>
      </c>
      <c r="L4794" s="3">
        <v>4793</v>
      </c>
    </row>
    <row r="4795" spans="1:12" x14ac:dyDescent="0.15">
      <c r="A4795" s="1" t="s">
        <v>908</v>
      </c>
      <c r="B4795" s="1" t="s">
        <v>908</v>
      </c>
      <c r="D4795" s="1" t="s">
        <v>4185</v>
      </c>
      <c r="E4795" s="1" t="s">
        <v>4186</v>
      </c>
      <c r="F4795" s="3">
        <v>1</v>
      </c>
      <c r="G4795" s="8" t="s">
        <v>2773</v>
      </c>
      <c r="H4795" s="8" t="s">
        <v>5159</v>
      </c>
      <c r="I4795" s="3">
        <v>30</v>
      </c>
      <c r="J4795" s="3" t="s">
        <v>6492</v>
      </c>
      <c r="K4795" s="17" t="str">
        <f>HYPERLINK("http://ictvonline.org/taxonomyHistory.asp?taxnode_id=20175393","ICTVonline=20175393")</f>
        <v>ICTVonline=20175393</v>
      </c>
      <c r="L4795" s="3">
        <v>4794</v>
      </c>
    </row>
    <row r="4796" spans="1:12" x14ac:dyDescent="0.15">
      <c r="A4796" s="1" t="s">
        <v>908</v>
      </c>
      <c r="B4796" s="1" t="s">
        <v>2014</v>
      </c>
      <c r="D4796" s="1" t="s">
        <v>1269</v>
      </c>
      <c r="E4796" s="1" t="s">
        <v>1270</v>
      </c>
      <c r="F4796" s="3">
        <v>0</v>
      </c>
      <c r="G4796" s="8" t="s">
        <v>2773</v>
      </c>
      <c r="H4796" s="8" t="s">
        <v>5161</v>
      </c>
      <c r="I4796" s="3">
        <v>25</v>
      </c>
      <c r="J4796" s="3" t="s">
        <v>6503</v>
      </c>
      <c r="K4796" s="17" t="str">
        <f>HYPERLINK("http://ictvonline.org/taxonomyHistory.asp?taxnode_id=20175397","ICTVonline=20175397")</f>
        <v>ICTVonline=20175397</v>
      </c>
      <c r="L4796" s="3">
        <v>4795</v>
      </c>
    </row>
    <row r="4797" spans="1:12" x14ac:dyDescent="0.15">
      <c r="A4797" s="1" t="s">
        <v>908</v>
      </c>
      <c r="B4797" s="1" t="s">
        <v>2014</v>
      </c>
      <c r="D4797" s="1" t="s">
        <v>1269</v>
      </c>
      <c r="E4797" s="1" t="s">
        <v>217</v>
      </c>
      <c r="F4797" s="3">
        <v>0</v>
      </c>
      <c r="G4797" s="8" t="s">
        <v>2773</v>
      </c>
      <c r="H4797" s="8" t="s">
        <v>5159</v>
      </c>
      <c r="I4797" s="3">
        <v>26</v>
      </c>
      <c r="J4797" s="3" t="s">
        <v>6504</v>
      </c>
      <c r="K4797" s="17" t="str">
        <f>HYPERLINK("http://ictvonline.org/taxonomyHistory.asp?taxnode_id=20175398","ICTVonline=20175398")</f>
        <v>ICTVonline=20175398</v>
      </c>
      <c r="L4797" s="3">
        <v>4796</v>
      </c>
    </row>
    <row r="4798" spans="1:12" x14ac:dyDescent="0.15">
      <c r="A4798" s="1" t="s">
        <v>908</v>
      </c>
      <c r="B4798" s="1" t="s">
        <v>2014</v>
      </c>
      <c r="D4798" s="1" t="s">
        <v>1269</v>
      </c>
      <c r="E4798" s="1" t="s">
        <v>1271</v>
      </c>
      <c r="F4798" s="3">
        <v>0</v>
      </c>
      <c r="G4798" s="8" t="s">
        <v>2773</v>
      </c>
      <c r="H4798" s="8" t="s">
        <v>5161</v>
      </c>
      <c r="I4798" s="3">
        <v>25</v>
      </c>
      <c r="J4798" s="3" t="s">
        <v>6503</v>
      </c>
      <c r="K4798" s="17" t="str">
        <f>HYPERLINK("http://ictvonline.org/taxonomyHistory.asp?taxnode_id=20175399","ICTVonline=20175399")</f>
        <v>ICTVonline=20175399</v>
      </c>
      <c r="L4798" s="3">
        <v>4797</v>
      </c>
    </row>
    <row r="4799" spans="1:12" x14ac:dyDescent="0.15">
      <c r="A4799" s="1" t="s">
        <v>908</v>
      </c>
      <c r="B4799" s="1" t="s">
        <v>2014</v>
      </c>
      <c r="D4799" s="1" t="s">
        <v>1269</v>
      </c>
      <c r="E4799" s="1" t="s">
        <v>1272</v>
      </c>
      <c r="F4799" s="3">
        <v>0</v>
      </c>
      <c r="G4799" s="8" t="s">
        <v>2773</v>
      </c>
      <c r="H4799" s="8" t="s">
        <v>5161</v>
      </c>
      <c r="I4799" s="3">
        <v>25</v>
      </c>
      <c r="J4799" s="3" t="s">
        <v>6503</v>
      </c>
      <c r="K4799" s="17" t="str">
        <f>HYPERLINK("http://ictvonline.org/taxonomyHistory.asp?taxnode_id=20175400","ICTVonline=20175400")</f>
        <v>ICTVonline=20175400</v>
      </c>
      <c r="L4799" s="3">
        <v>4798</v>
      </c>
    </row>
    <row r="4800" spans="1:12" x14ac:dyDescent="0.15">
      <c r="A4800" s="1" t="s">
        <v>908</v>
      </c>
      <c r="B4800" s="1" t="s">
        <v>2014</v>
      </c>
      <c r="D4800" s="1" t="s">
        <v>1269</v>
      </c>
      <c r="E4800" s="1" t="s">
        <v>1273</v>
      </c>
      <c r="F4800" s="3">
        <v>1</v>
      </c>
      <c r="G4800" s="8" t="s">
        <v>2773</v>
      </c>
      <c r="H4800" s="8" t="s">
        <v>5161</v>
      </c>
      <c r="I4800" s="3">
        <v>25</v>
      </c>
      <c r="J4800" s="3" t="s">
        <v>6503</v>
      </c>
      <c r="K4800" s="17" t="str">
        <f>HYPERLINK("http://ictvonline.org/taxonomyHistory.asp?taxnode_id=20175401","ICTVonline=20175401")</f>
        <v>ICTVonline=20175401</v>
      </c>
      <c r="L4800" s="3">
        <v>4799</v>
      </c>
    </row>
    <row r="4801" spans="1:12" x14ac:dyDescent="0.15">
      <c r="A4801" s="1" t="s">
        <v>908</v>
      </c>
      <c r="B4801" s="1" t="s">
        <v>2014</v>
      </c>
      <c r="D4801" s="1" t="s">
        <v>1269</v>
      </c>
      <c r="E4801" s="1" t="s">
        <v>275</v>
      </c>
      <c r="F4801" s="3">
        <v>0</v>
      </c>
      <c r="G4801" s="8" t="s">
        <v>2773</v>
      </c>
      <c r="H4801" s="8" t="s">
        <v>5161</v>
      </c>
      <c r="I4801" s="3">
        <v>25</v>
      </c>
      <c r="J4801" s="3" t="s">
        <v>6503</v>
      </c>
      <c r="K4801" s="17" t="str">
        <f>HYPERLINK("http://ictvonline.org/taxonomyHistory.asp?taxnode_id=20175402","ICTVonline=20175402")</f>
        <v>ICTVonline=20175402</v>
      </c>
      <c r="L4801" s="3">
        <v>4800</v>
      </c>
    </row>
    <row r="4802" spans="1:12" x14ac:dyDescent="0.15">
      <c r="A4802" s="1" t="s">
        <v>908</v>
      </c>
      <c r="B4802" s="1" t="s">
        <v>2014</v>
      </c>
      <c r="D4802" s="1" t="s">
        <v>4187</v>
      </c>
      <c r="E4802" s="1" t="s">
        <v>4188</v>
      </c>
      <c r="F4802" s="3">
        <v>0</v>
      </c>
      <c r="G4802" s="8" t="s">
        <v>2773</v>
      </c>
      <c r="H4802" s="8" t="s">
        <v>5159</v>
      </c>
      <c r="I4802" s="3">
        <v>30</v>
      </c>
      <c r="J4802" s="3" t="s">
        <v>6505</v>
      </c>
      <c r="K4802" s="17" t="str">
        <f>HYPERLINK("http://ictvonline.org/taxonomyHistory.asp?taxnode_id=20175404","ICTVonline=20175404")</f>
        <v>ICTVonline=20175404</v>
      </c>
      <c r="L4802" s="3">
        <v>4801</v>
      </c>
    </row>
    <row r="4803" spans="1:12" x14ac:dyDescent="0.15">
      <c r="A4803" s="1" t="s">
        <v>908</v>
      </c>
      <c r="B4803" s="1" t="s">
        <v>2014</v>
      </c>
      <c r="D4803" s="1" t="s">
        <v>4187</v>
      </c>
      <c r="E4803" s="1" t="s">
        <v>4189</v>
      </c>
      <c r="F4803" s="3">
        <v>1</v>
      </c>
      <c r="G4803" s="8" t="s">
        <v>2773</v>
      </c>
      <c r="H4803" s="8" t="s">
        <v>5159</v>
      </c>
      <c r="I4803" s="3">
        <v>30</v>
      </c>
      <c r="J4803" s="3" t="s">
        <v>6505</v>
      </c>
      <c r="K4803" s="17" t="str">
        <f>HYPERLINK("http://ictvonline.org/taxonomyHistory.asp?taxnode_id=20175405","ICTVonline=20175405")</f>
        <v>ICTVonline=20175405</v>
      </c>
      <c r="L4803" s="3">
        <v>4802</v>
      </c>
    </row>
    <row r="4804" spans="1:12" x14ac:dyDescent="0.15">
      <c r="A4804" s="1" t="s">
        <v>908</v>
      </c>
      <c r="B4804" s="1" t="s">
        <v>2014</v>
      </c>
      <c r="D4804" s="1" t="s">
        <v>261</v>
      </c>
      <c r="E4804" s="1" t="s">
        <v>262</v>
      </c>
      <c r="F4804" s="3">
        <v>0</v>
      </c>
      <c r="G4804" s="8" t="s">
        <v>2773</v>
      </c>
      <c r="H4804" s="8" t="s">
        <v>5161</v>
      </c>
      <c r="I4804" s="3">
        <v>25</v>
      </c>
      <c r="J4804" s="3" t="s">
        <v>6503</v>
      </c>
      <c r="K4804" s="17" t="str">
        <f>HYPERLINK("http://ictvonline.org/taxonomyHistory.asp?taxnode_id=20175407","ICTVonline=20175407")</f>
        <v>ICTVonline=20175407</v>
      </c>
      <c r="L4804" s="3">
        <v>4803</v>
      </c>
    </row>
    <row r="4805" spans="1:12" x14ac:dyDescent="0.15">
      <c r="A4805" s="1" t="s">
        <v>908</v>
      </c>
      <c r="B4805" s="1" t="s">
        <v>2014</v>
      </c>
      <c r="D4805" s="1" t="s">
        <v>261</v>
      </c>
      <c r="E4805" s="1" t="s">
        <v>263</v>
      </c>
      <c r="F4805" s="3">
        <v>1</v>
      </c>
      <c r="G4805" s="8" t="s">
        <v>2773</v>
      </c>
      <c r="H4805" s="8" t="s">
        <v>5161</v>
      </c>
      <c r="I4805" s="3">
        <v>25</v>
      </c>
      <c r="J4805" s="3" t="s">
        <v>6503</v>
      </c>
      <c r="K4805" s="17" t="str">
        <f>HYPERLINK("http://ictvonline.org/taxonomyHistory.asp?taxnode_id=20175408","ICTVonline=20175408")</f>
        <v>ICTVonline=20175408</v>
      </c>
      <c r="L4805" s="3">
        <v>4804</v>
      </c>
    </row>
    <row r="4806" spans="1:12" x14ac:dyDescent="0.15">
      <c r="A4806" s="1" t="s">
        <v>908</v>
      </c>
      <c r="B4806" s="1" t="s">
        <v>2014</v>
      </c>
      <c r="D4806" s="1" t="s">
        <v>261</v>
      </c>
      <c r="E4806" s="1" t="s">
        <v>264</v>
      </c>
      <c r="F4806" s="3">
        <v>0</v>
      </c>
      <c r="G4806" s="8" t="s">
        <v>2773</v>
      </c>
      <c r="H4806" s="8" t="s">
        <v>5161</v>
      </c>
      <c r="I4806" s="3">
        <v>25</v>
      </c>
      <c r="J4806" s="3" t="s">
        <v>6503</v>
      </c>
      <c r="K4806" s="17" t="str">
        <f>HYPERLINK("http://ictvonline.org/taxonomyHistory.asp?taxnode_id=20175409","ICTVonline=20175409")</f>
        <v>ICTVonline=20175409</v>
      </c>
      <c r="L4806" s="3">
        <v>4805</v>
      </c>
    </row>
    <row r="4807" spans="1:12" x14ac:dyDescent="0.15">
      <c r="A4807" s="1" t="s">
        <v>908</v>
      </c>
      <c r="B4807" s="1" t="s">
        <v>2014</v>
      </c>
      <c r="D4807" s="1" t="s">
        <v>261</v>
      </c>
      <c r="E4807" s="1" t="s">
        <v>265</v>
      </c>
      <c r="F4807" s="3">
        <v>0</v>
      </c>
      <c r="G4807" s="8" t="s">
        <v>2773</v>
      </c>
      <c r="H4807" s="8" t="s">
        <v>5161</v>
      </c>
      <c r="I4807" s="3">
        <v>25</v>
      </c>
      <c r="J4807" s="3" t="s">
        <v>6503</v>
      </c>
      <c r="K4807" s="17" t="str">
        <f>HYPERLINK("http://ictvonline.org/taxonomyHistory.asp?taxnode_id=20175410","ICTVonline=20175410")</f>
        <v>ICTVonline=20175410</v>
      </c>
      <c r="L4807" s="3">
        <v>4806</v>
      </c>
    </row>
    <row r="4808" spans="1:12" x14ac:dyDescent="0.15">
      <c r="A4808" s="1" t="s">
        <v>908</v>
      </c>
      <c r="B4808" s="1" t="s">
        <v>2014</v>
      </c>
      <c r="D4808" s="1" t="s">
        <v>272</v>
      </c>
      <c r="E4808" s="1" t="s">
        <v>273</v>
      </c>
      <c r="F4808" s="3">
        <v>0</v>
      </c>
      <c r="G4808" s="8" t="s">
        <v>2773</v>
      </c>
      <c r="H4808" s="8" t="s">
        <v>5161</v>
      </c>
      <c r="I4808" s="3">
        <v>25</v>
      </c>
      <c r="J4808" s="3" t="s">
        <v>6503</v>
      </c>
      <c r="K4808" s="17" t="str">
        <f>HYPERLINK("http://ictvonline.org/taxonomyHistory.asp?taxnode_id=20175412","ICTVonline=20175412")</f>
        <v>ICTVonline=20175412</v>
      </c>
      <c r="L4808" s="3">
        <v>4807</v>
      </c>
    </row>
    <row r="4809" spans="1:12" x14ac:dyDescent="0.15">
      <c r="A4809" s="1" t="s">
        <v>908</v>
      </c>
      <c r="B4809" s="1" t="s">
        <v>2014</v>
      </c>
      <c r="D4809" s="1" t="s">
        <v>272</v>
      </c>
      <c r="E4809" s="1" t="s">
        <v>274</v>
      </c>
      <c r="F4809" s="3">
        <v>1</v>
      </c>
      <c r="G4809" s="8" t="s">
        <v>2773</v>
      </c>
      <c r="H4809" s="8" t="s">
        <v>5161</v>
      </c>
      <c r="I4809" s="3">
        <v>25</v>
      </c>
      <c r="J4809" s="3" t="s">
        <v>6503</v>
      </c>
      <c r="K4809" s="17" t="str">
        <f>HYPERLINK("http://ictvonline.org/taxonomyHistory.asp?taxnode_id=20175413","ICTVonline=20175413")</f>
        <v>ICTVonline=20175413</v>
      </c>
      <c r="L4809" s="3">
        <v>4808</v>
      </c>
    </row>
    <row r="4810" spans="1:12" x14ac:dyDescent="0.15">
      <c r="A4810" s="1" t="s">
        <v>908</v>
      </c>
      <c r="B4810" s="1" t="s">
        <v>2014</v>
      </c>
      <c r="D4810" s="1" t="s">
        <v>401</v>
      </c>
      <c r="E4810" s="1" t="s">
        <v>402</v>
      </c>
      <c r="F4810" s="3">
        <v>0</v>
      </c>
      <c r="G4810" s="8" t="s">
        <v>2773</v>
      </c>
      <c r="H4810" s="8" t="s">
        <v>5161</v>
      </c>
      <c r="I4810" s="3">
        <v>25</v>
      </c>
      <c r="J4810" s="3" t="s">
        <v>6503</v>
      </c>
      <c r="K4810" s="17" t="str">
        <f>HYPERLINK("http://ictvonline.org/taxonomyHistory.asp?taxnode_id=20175415","ICTVonline=20175415")</f>
        <v>ICTVonline=20175415</v>
      </c>
      <c r="L4810" s="3">
        <v>4809</v>
      </c>
    </row>
    <row r="4811" spans="1:12" x14ac:dyDescent="0.15">
      <c r="A4811" s="1" t="s">
        <v>908</v>
      </c>
      <c r="B4811" s="1" t="s">
        <v>2014</v>
      </c>
      <c r="D4811" s="1" t="s">
        <v>401</v>
      </c>
      <c r="E4811" s="1" t="s">
        <v>403</v>
      </c>
      <c r="F4811" s="3">
        <v>0</v>
      </c>
      <c r="G4811" s="8" t="s">
        <v>2773</v>
      </c>
      <c r="H4811" s="8" t="s">
        <v>5161</v>
      </c>
      <c r="I4811" s="3">
        <v>25</v>
      </c>
      <c r="J4811" s="3" t="s">
        <v>6503</v>
      </c>
      <c r="K4811" s="17" t="str">
        <f>HYPERLINK("http://ictvonline.org/taxonomyHistory.asp?taxnode_id=20175416","ICTVonline=20175416")</f>
        <v>ICTVonline=20175416</v>
      </c>
      <c r="L4811" s="3">
        <v>4810</v>
      </c>
    </row>
    <row r="4812" spans="1:12" x14ac:dyDescent="0.15">
      <c r="A4812" s="1" t="s">
        <v>908</v>
      </c>
      <c r="B4812" s="1" t="s">
        <v>2014</v>
      </c>
      <c r="D4812" s="1" t="s">
        <v>401</v>
      </c>
      <c r="E4812" s="1" t="s">
        <v>404</v>
      </c>
      <c r="F4812" s="3">
        <v>0</v>
      </c>
      <c r="G4812" s="8" t="s">
        <v>2773</v>
      </c>
      <c r="H4812" s="8" t="s">
        <v>5161</v>
      </c>
      <c r="I4812" s="3">
        <v>25</v>
      </c>
      <c r="J4812" s="3" t="s">
        <v>6503</v>
      </c>
      <c r="K4812" s="17" t="str">
        <f>HYPERLINK("http://ictvonline.org/taxonomyHistory.asp?taxnode_id=20175417","ICTVonline=20175417")</f>
        <v>ICTVonline=20175417</v>
      </c>
      <c r="L4812" s="3">
        <v>4811</v>
      </c>
    </row>
    <row r="4813" spans="1:12" x14ac:dyDescent="0.15">
      <c r="A4813" s="1" t="s">
        <v>908</v>
      </c>
      <c r="B4813" s="1" t="s">
        <v>2014</v>
      </c>
      <c r="D4813" s="1" t="s">
        <v>401</v>
      </c>
      <c r="E4813" s="1" t="s">
        <v>5155</v>
      </c>
      <c r="F4813" s="3">
        <v>0</v>
      </c>
      <c r="G4813" s="8" t="s">
        <v>2773</v>
      </c>
      <c r="H4813" s="8" t="s">
        <v>5159</v>
      </c>
      <c r="I4813" s="3">
        <v>31</v>
      </c>
      <c r="J4813" s="3" t="s">
        <v>6506</v>
      </c>
      <c r="K4813" s="17" t="str">
        <f>HYPERLINK("http://ictvonline.org/taxonomyHistory.asp?taxnode_id=20175418","ICTVonline=20175418")</f>
        <v>ICTVonline=20175418</v>
      </c>
      <c r="L4813" s="3">
        <v>4812</v>
      </c>
    </row>
    <row r="4814" spans="1:12" x14ac:dyDescent="0.15">
      <c r="A4814" s="1" t="s">
        <v>908</v>
      </c>
      <c r="B4814" s="1" t="s">
        <v>2014</v>
      </c>
      <c r="D4814" s="1" t="s">
        <v>401</v>
      </c>
      <c r="E4814" s="1" t="s">
        <v>405</v>
      </c>
      <c r="F4814" s="3">
        <v>1</v>
      </c>
      <c r="G4814" s="8" t="s">
        <v>2773</v>
      </c>
      <c r="H4814" s="8" t="s">
        <v>5161</v>
      </c>
      <c r="I4814" s="3">
        <v>25</v>
      </c>
      <c r="J4814" s="3" t="s">
        <v>6503</v>
      </c>
      <c r="K4814" s="17" t="str">
        <f>HYPERLINK("http://ictvonline.org/taxonomyHistory.asp?taxnode_id=20175419","ICTVonline=20175419")</f>
        <v>ICTVonline=20175419</v>
      </c>
      <c r="L4814" s="3">
        <v>4813</v>
      </c>
    </row>
    <row r="4815" spans="1:12" x14ac:dyDescent="0.15">
      <c r="A4815" s="1" t="s">
        <v>908</v>
      </c>
      <c r="B4815" s="1" t="s">
        <v>2014</v>
      </c>
      <c r="D4815" s="1" t="s">
        <v>442</v>
      </c>
      <c r="E4815" s="1" t="s">
        <v>2302</v>
      </c>
      <c r="F4815" s="3">
        <v>0</v>
      </c>
      <c r="G4815" s="8" t="s">
        <v>2773</v>
      </c>
      <c r="H4815" s="8" t="s">
        <v>5159</v>
      </c>
      <c r="I4815" s="3">
        <v>27</v>
      </c>
      <c r="J4815" s="3" t="s">
        <v>6507</v>
      </c>
      <c r="K4815" s="17" t="str">
        <f>HYPERLINK("http://ictvonline.org/taxonomyHistory.asp?taxnode_id=20175421","ICTVonline=20175421")</f>
        <v>ICTVonline=20175421</v>
      </c>
      <c r="L4815" s="3">
        <v>4814</v>
      </c>
    </row>
    <row r="4816" spans="1:12" x14ac:dyDescent="0.15">
      <c r="A4816" s="1" t="s">
        <v>908</v>
      </c>
      <c r="B4816" s="1" t="s">
        <v>2014</v>
      </c>
      <c r="D4816" s="1" t="s">
        <v>442</v>
      </c>
      <c r="E4816" s="1" t="s">
        <v>1540</v>
      </c>
      <c r="F4816" s="3">
        <v>0</v>
      </c>
      <c r="G4816" s="8" t="s">
        <v>2773</v>
      </c>
      <c r="H4816" s="8" t="s">
        <v>5159</v>
      </c>
      <c r="I4816" s="3">
        <v>25</v>
      </c>
      <c r="J4816" s="3" t="s">
        <v>6508</v>
      </c>
      <c r="K4816" s="17" t="str">
        <f>HYPERLINK("http://ictvonline.org/taxonomyHistory.asp?taxnode_id=20175422","ICTVonline=20175422")</f>
        <v>ICTVonline=20175422</v>
      </c>
      <c r="L4816" s="3">
        <v>4815</v>
      </c>
    </row>
    <row r="4817" spans="1:12" x14ac:dyDescent="0.15">
      <c r="A4817" s="1" t="s">
        <v>908</v>
      </c>
      <c r="B4817" s="1" t="s">
        <v>2014</v>
      </c>
      <c r="D4817" s="1" t="s">
        <v>442</v>
      </c>
      <c r="E4817" s="1" t="s">
        <v>2303</v>
      </c>
      <c r="F4817" s="3">
        <v>0</v>
      </c>
      <c r="G4817" s="8" t="s">
        <v>2773</v>
      </c>
      <c r="H4817" s="8" t="s">
        <v>5159</v>
      </c>
      <c r="I4817" s="3">
        <v>27</v>
      </c>
      <c r="J4817" s="3" t="s">
        <v>6507</v>
      </c>
      <c r="K4817" s="17" t="str">
        <f>HYPERLINK("http://ictvonline.org/taxonomyHistory.asp?taxnode_id=20175423","ICTVonline=20175423")</f>
        <v>ICTVonline=20175423</v>
      </c>
      <c r="L4817" s="3">
        <v>4816</v>
      </c>
    </row>
    <row r="4818" spans="1:12" x14ac:dyDescent="0.15">
      <c r="A4818" s="1" t="s">
        <v>908</v>
      </c>
      <c r="B4818" s="1" t="s">
        <v>2014</v>
      </c>
      <c r="D4818" s="1" t="s">
        <v>442</v>
      </c>
      <c r="E4818" s="1" t="s">
        <v>2304</v>
      </c>
      <c r="F4818" s="3">
        <v>0</v>
      </c>
      <c r="G4818" s="8" t="s">
        <v>2773</v>
      </c>
      <c r="H4818" s="8" t="s">
        <v>5159</v>
      </c>
      <c r="I4818" s="3">
        <v>27</v>
      </c>
      <c r="J4818" s="3" t="s">
        <v>6507</v>
      </c>
      <c r="K4818" s="17" t="str">
        <f>HYPERLINK("http://ictvonline.org/taxonomyHistory.asp?taxnode_id=20175424","ICTVonline=20175424")</f>
        <v>ICTVonline=20175424</v>
      </c>
      <c r="L4818" s="3">
        <v>4817</v>
      </c>
    </row>
    <row r="4819" spans="1:12" x14ac:dyDescent="0.15">
      <c r="A4819" s="1" t="s">
        <v>908</v>
      </c>
      <c r="B4819" s="1" t="s">
        <v>2014</v>
      </c>
      <c r="D4819" s="1" t="s">
        <v>442</v>
      </c>
      <c r="E4819" s="1" t="s">
        <v>443</v>
      </c>
      <c r="F4819" s="3">
        <v>0</v>
      </c>
      <c r="G4819" s="8" t="s">
        <v>2773</v>
      </c>
      <c r="H4819" s="8" t="s">
        <v>5161</v>
      </c>
      <c r="I4819" s="3">
        <v>25</v>
      </c>
      <c r="J4819" s="3" t="s">
        <v>6503</v>
      </c>
      <c r="K4819" s="17" t="str">
        <f>HYPERLINK("http://ictvonline.org/taxonomyHistory.asp?taxnode_id=20175425","ICTVonline=20175425")</f>
        <v>ICTVonline=20175425</v>
      </c>
      <c r="L4819" s="3">
        <v>4818</v>
      </c>
    </row>
    <row r="4820" spans="1:12" x14ac:dyDescent="0.15">
      <c r="A4820" s="1" t="s">
        <v>908</v>
      </c>
      <c r="B4820" s="1" t="s">
        <v>2014</v>
      </c>
      <c r="D4820" s="1" t="s">
        <v>442</v>
      </c>
      <c r="E4820" s="1" t="s">
        <v>444</v>
      </c>
      <c r="F4820" s="3">
        <v>0</v>
      </c>
      <c r="G4820" s="8" t="s">
        <v>2773</v>
      </c>
      <c r="H4820" s="8" t="s">
        <v>5161</v>
      </c>
      <c r="I4820" s="3">
        <v>25</v>
      </c>
      <c r="J4820" s="3" t="s">
        <v>6503</v>
      </c>
      <c r="K4820" s="17" t="str">
        <f>HYPERLINK("http://ictvonline.org/taxonomyHistory.asp?taxnode_id=20175426","ICTVonline=20175426")</f>
        <v>ICTVonline=20175426</v>
      </c>
      <c r="L4820" s="3">
        <v>4819</v>
      </c>
    </row>
    <row r="4821" spans="1:12" x14ac:dyDescent="0.15">
      <c r="A4821" s="1" t="s">
        <v>908</v>
      </c>
      <c r="B4821" s="1" t="s">
        <v>2014</v>
      </c>
      <c r="D4821" s="1" t="s">
        <v>442</v>
      </c>
      <c r="E4821" s="1" t="s">
        <v>2305</v>
      </c>
      <c r="F4821" s="3">
        <v>0</v>
      </c>
      <c r="G4821" s="8" t="s">
        <v>2773</v>
      </c>
      <c r="H4821" s="8" t="s">
        <v>5159</v>
      </c>
      <c r="I4821" s="3">
        <v>27</v>
      </c>
      <c r="J4821" s="3" t="s">
        <v>6507</v>
      </c>
      <c r="K4821" s="17" t="str">
        <f>HYPERLINK("http://ictvonline.org/taxonomyHistory.asp?taxnode_id=20175427","ICTVonline=20175427")</f>
        <v>ICTVonline=20175427</v>
      </c>
      <c r="L4821" s="3">
        <v>4820</v>
      </c>
    </row>
    <row r="4822" spans="1:12" x14ac:dyDescent="0.15">
      <c r="A4822" s="1" t="s">
        <v>908</v>
      </c>
      <c r="B4822" s="1" t="s">
        <v>2014</v>
      </c>
      <c r="D4822" s="1" t="s">
        <v>442</v>
      </c>
      <c r="E4822" s="1" t="s">
        <v>445</v>
      </c>
      <c r="F4822" s="3">
        <v>0</v>
      </c>
      <c r="G4822" s="8" t="s">
        <v>2773</v>
      </c>
      <c r="H4822" s="8" t="s">
        <v>5161</v>
      </c>
      <c r="I4822" s="3">
        <v>25</v>
      </c>
      <c r="J4822" s="3" t="s">
        <v>6503</v>
      </c>
      <c r="K4822" s="17" t="str">
        <f>HYPERLINK("http://ictvonline.org/taxonomyHistory.asp?taxnode_id=20175428","ICTVonline=20175428")</f>
        <v>ICTVonline=20175428</v>
      </c>
      <c r="L4822" s="3">
        <v>4821</v>
      </c>
    </row>
    <row r="4823" spans="1:12" x14ac:dyDescent="0.15">
      <c r="A4823" s="1" t="s">
        <v>908</v>
      </c>
      <c r="B4823" s="1" t="s">
        <v>2014</v>
      </c>
      <c r="D4823" s="1" t="s">
        <v>442</v>
      </c>
      <c r="E4823" s="1" t="s">
        <v>446</v>
      </c>
      <c r="F4823" s="3">
        <v>0</v>
      </c>
      <c r="G4823" s="8" t="s">
        <v>2773</v>
      </c>
      <c r="H4823" s="8" t="s">
        <v>5161</v>
      </c>
      <c r="I4823" s="3">
        <v>25</v>
      </c>
      <c r="J4823" s="3" t="s">
        <v>6503</v>
      </c>
      <c r="K4823" s="17" t="str">
        <f>HYPERLINK("http://ictvonline.org/taxonomyHistory.asp?taxnode_id=20175429","ICTVonline=20175429")</f>
        <v>ICTVonline=20175429</v>
      </c>
      <c r="L4823" s="3">
        <v>4822</v>
      </c>
    </row>
    <row r="4824" spans="1:12" x14ac:dyDescent="0.15">
      <c r="A4824" s="1" t="s">
        <v>908</v>
      </c>
      <c r="B4824" s="1" t="s">
        <v>2014</v>
      </c>
      <c r="D4824" s="1" t="s">
        <v>442</v>
      </c>
      <c r="E4824" s="1" t="s">
        <v>447</v>
      </c>
      <c r="F4824" s="3">
        <v>0</v>
      </c>
      <c r="G4824" s="8" t="s">
        <v>2773</v>
      </c>
      <c r="H4824" s="8" t="s">
        <v>5161</v>
      </c>
      <c r="I4824" s="3">
        <v>25</v>
      </c>
      <c r="J4824" s="3" t="s">
        <v>6503</v>
      </c>
      <c r="K4824" s="17" t="str">
        <f>HYPERLINK("http://ictvonline.org/taxonomyHistory.asp?taxnode_id=20175430","ICTVonline=20175430")</f>
        <v>ICTVonline=20175430</v>
      </c>
      <c r="L4824" s="3">
        <v>4823</v>
      </c>
    </row>
    <row r="4825" spans="1:12" x14ac:dyDescent="0.15">
      <c r="A4825" s="1" t="s">
        <v>908</v>
      </c>
      <c r="B4825" s="1" t="s">
        <v>2014</v>
      </c>
      <c r="D4825" s="1" t="s">
        <v>442</v>
      </c>
      <c r="E4825" s="1" t="s">
        <v>448</v>
      </c>
      <c r="F4825" s="3">
        <v>0</v>
      </c>
      <c r="G4825" s="8" t="s">
        <v>2773</v>
      </c>
      <c r="H4825" s="8" t="s">
        <v>5161</v>
      </c>
      <c r="I4825" s="3">
        <v>25</v>
      </c>
      <c r="J4825" s="3" t="s">
        <v>6503</v>
      </c>
      <c r="K4825" s="17" t="str">
        <f>HYPERLINK("http://ictvonline.org/taxonomyHistory.asp?taxnode_id=20175431","ICTVonline=20175431")</f>
        <v>ICTVonline=20175431</v>
      </c>
      <c r="L4825" s="3">
        <v>4824</v>
      </c>
    </row>
    <row r="4826" spans="1:12" x14ac:dyDescent="0.15">
      <c r="A4826" s="1" t="s">
        <v>908</v>
      </c>
      <c r="B4826" s="1" t="s">
        <v>2014</v>
      </c>
      <c r="D4826" s="1" t="s">
        <v>442</v>
      </c>
      <c r="E4826" s="1" t="s">
        <v>2306</v>
      </c>
      <c r="F4826" s="3">
        <v>0</v>
      </c>
      <c r="G4826" s="8" t="s">
        <v>2773</v>
      </c>
      <c r="H4826" s="8" t="s">
        <v>5159</v>
      </c>
      <c r="I4826" s="3">
        <v>27</v>
      </c>
      <c r="J4826" s="3" t="s">
        <v>6507</v>
      </c>
      <c r="K4826" s="17" t="str">
        <f>HYPERLINK("http://ictvonline.org/taxonomyHistory.asp?taxnode_id=20175432","ICTVonline=20175432")</f>
        <v>ICTVonline=20175432</v>
      </c>
      <c r="L4826" s="3">
        <v>4825</v>
      </c>
    </row>
    <row r="4827" spans="1:12" x14ac:dyDescent="0.15">
      <c r="A4827" s="1" t="s">
        <v>908</v>
      </c>
      <c r="B4827" s="1" t="s">
        <v>2014</v>
      </c>
      <c r="D4827" s="1" t="s">
        <v>442</v>
      </c>
      <c r="E4827" s="1" t="s">
        <v>428</v>
      </c>
      <c r="F4827" s="3">
        <v>0</v>
      </c>
      <c r="G4827" s="8" t="s">
        <v>2773</v>
      </c>
      <c r="H4827" s="8" t="s">
        <v>5161</v>
      </c>
      <c r="I4827" s="3">
        <v>25</v>
      </c>
      <c r="J4827" s="3" t="s">
        <v>6503</v>
      </c>
      <c r="K4827" s="17" t="str">
        <f>HYPERLINK("http://ictvonline.org/taxonomyHistory.asp?taxnode_id=20175433","ICTVonline=20175433")</f>
        <v>ICTVonline=20175433</v>
      </c>
      <c r="L4827" s="3">
        <v>4826</v>
      </c>
    </row>
    <row r="4828" spans="1:12" x14ac:dyDescent="0.15">
      <c r="A4828" s="1" t="s">
        <v>908</v>
      </c>
      <c r="B4828" s="1" t="s">
        <v>2014</v>
      </c>
      <c r="D4828" s="1" t="s">
        <v>442</v>
      </c>
      <c r="E4828" s="1" t="s">
        <v>429</v>
      </c>
      <c r="F4828" s="3">
        <v>0</v>
      </c>
      <c r="G4828" s="8" t="s">
        <v>2773</v>
      </c>
      <c r="H4828" s="8" t="s">
        <v>5161</v>
      </c>
      <c r="I4828" s="3">
        <v>25</v>
      </c>
      <c r="J4828" s="3" t="s">
        <v>6503</v>
      </c>
      <c r="K4828" s="17" t="str">
        <f>HYPERLINK("http://ictvonline.org/taxonomyHistory.asp?taxnode_id=20175434","ICTVonline=20175434")</f>
        <v>ICTVonline=20175434</v>
      </c>
      <c r="L4828" s="3">
        <v>4827</v>
      </c>
    </row>
    <row r="4829" spans="1:12" x14ac:dyDescent="0.15">
      <c r="A4829" s="1" t="s">
        <v>908</v>
      </c>
      <c r="B4829" s="1" t="s">
        <v>2014</v>
      </c>
      <c r="D4829" s="1" t="s">
        <v>442</v>
      </c>
      <c r="E4829" s="1" t="s">
        <v>6509</v>
      </c>
      <c r="F4829" s="3">
        <v>0</v>
      </c>
      <c r="G4829" s="8" t="s">
        <v>2773</v>
      </c>
      <c r="H4829" s="8" t="s">
        <v>5162</v>
      </c>
      <c r="I4829" s="3">
        <v>32</v>
      </c>
      <c r="J4829" s="3" t="s">
        <v>5564</v>
      </c>
      <c r="K4829" s="17" t="str">
        <f>HYPERLINK("http://ictvonline.org/taxonomyHistory.asp?taxnode_id=20175442","ICTVonline=20175442")</f>
        <v>ICTVonline=20175442</v>
      </c>
      <c r="L4829" s="3">
        <v>4828</v>
      </c>
    </row>
    <row r="4830" spans="1:12" x14ac:dyDescent="0.15">
      <c r="A4830" s="1" t="s">
        <v>908</v>
      </c>
      <c r="B4830" s="1" t="s">
        <v>2014</v>
      </c>
      <c r="D4830" s="1" t="s">
        <v>442</v>
      </c>
      <c r="E4830" s="1" t="s">
        <v>430</v>
      </c>
      <c r="F4830" s="3">
        <v>0</v>
      </c>
      <c r="G4830" s="8" t="s">
        <v>2773</v>
      </c>
      <c r="H4830" s="8" t="s">
        <v>5161</v>
      </c>
      <c r="I4830" s="3">
        <v>25</v>
      </c>
      <c r="J4830" s="3" t="s">
        <v>6503</v>
      </c>
      <c r="K4830" s="17" t="str">
        <f>HYPERLINK("http://ictvonline.org/taxonomyHistory.asp?taxnode_id=20175435","ICTVonline=20175435")</f>
        <v>ICTVonline=20175435</v>
      </c>
      <c r="L4830" s="3">
        <v>4829</v>
      </c>
    </row>
    <row r="4831" spans="1:12" x14ac:dyDescent="0.15">
      <c r="A4831" s="1" t="s">
        <v>908</v>
      </c>
      <c r="B4831" s="1" t="s">
        <v>2014</v>
      </c>
      <c r="D4831" s="1" t="s">
        <v>442</v>
      </c>
      <c r="E4831" s="1" t="s">
        <v>2307</v>
      </c>
      <c r="F4831" s="3">
        <v>0</v>
      </c>
      <c r="G4831" s="8" t="s">
        <v>2773</v>
      </c>
      <c r="H4831" s="8" t="s">
        <v>5159</v>
      </c>
      <c r="I4831" s="3">
        <v>27</v>
      </c>
      <c r="J4831" s="3" t="s">
        <v>6507</v>
      </c>
      <c r="K4831" s="17" t="str">
        <f>HYPERLINK("http://ictvonline.org/taxonomyHistory.asp?taxnode_id=20175436","ICTVonline=20175436")</f>
        <v>ICTVonline=20175436</v>
      </c>
      <c r="L4831" s="3">
        <v>4830</v>
      </c>
    </row>
    <row r="4832" spans="1:12" x14ac:dyDescent="0.15">
      <c r="A4832" s="1" t="s">
        <v>908</v>
      </c>
      <c r="B4832" s="1" t="s">
        <v>2014</v>
      </c>
      <c r="D4832" s="1" t="s">
        <v>442</v>
      </c>
      <c r="E4832" s="1" t="s">
        <v>304</v>
      </c>
      <c r="F4832" s="3">
        <v>0</v>
      </c>
      <c r="G4832" s="8" t="s">
        <v>2773</v>
      </c>
      <c r="H4832" s="8" t="s">
        <v>5161</v>
      </c>
      <c r="I4832" s="3">
        <v>25</v>
      </c>
      <c r="J4832" s="3" t="s">
        <v>6503</v>
      </c>
      <c r="K4832" s="17" t="str">
        <f>HYPERLINK("http://ictvonline.org/taxonomyHistory.asp?taxnode_id=20175437","ICTVonline=20175437")</f>
        <v>ICTVonline=20175437</v>
      </c>
      <c r="L4832" s="3">
        <v>4831</v>
      </c>
    </row>
    <row r="4833" spans="1:12" x14ac:dyDescent="0.15">
      <c r="A4833" s="1" t="s">
        <v>908</v>
      </c>
      <c r="B4833" s="1" t="s">
        <v>2014</v>
      </c>
      <c r="D4833" s="1" t="s">
        <v>442</v>
      </c>
      <c r="E4833" s="1" t="s">
        <v>5156</v>
      </c>
      <c r="F4833" s="3">
        <v>0</v>
      </c>
      <c r="G4833" s="8" t="s">
        <v>2773</v>
      </c>
      <c r="H4833" s="8" t="s">
        <v>5159</v>
      </c>
      <c r="I4833" s="3">
        <v>31</v>
      </c>
      <c r="J4833" s="3" t="s">
        <v>6510</v>
      </c>
      <c r="K4833" s="17" t="str">
        <f>HYPERLINK("http://ictvonline.org/taxonomyHistory.asp?taxnode_id=20175438","ICTVonline=20175438")</f>
        <v>ICTVonline=20175438</v>
      </c>
      <c r="L4833" s="3">
        <v>4832</v>
      </c>
    </row>
    <row r="4834" spans="1:12" x14ac:dyDescent="0.15">
      <c r="A4834" s="1" t="s">
        <v>908</v>
      </c>
      <c r="B4834" s="1" t="s">
        <v>2014</v>
      </c>
      <c r="D4834" s="1" t="s">
        <v>442</v>
      </c>
      <c r="E4834" s="1" t="s">
        <v>2308</v>
      </c>
      <c r="F4834" s="3">
        <v>0</v>
      </c>
      <c r="G4834" s="8" t="s">
        <v>2773</v>
      </c>
      <c r="H4834" s="8" t="s">
        <v>5159</v>
      </c>
      <c r="I4834" s="3">
        <v>27</v>
      </c>
      <c r="J4834" s="3" t="s">
        <v>6507</v>
      </c>
      <c r="K4834" s="17" t="str">
        <f>HYPERLINK("http://ictvonline.org/taxonomyHistory.asp?taxnode_id=20175439","ICTVonline=20175439")</f>
        <v>ICTVonline=20175439</v>
      </c>
      <c r="L4834" s="3">
        <v>4833</v>
      </c>
    </row>
    <row r="4835" spans="1:12" x14ac:dyDescent="0.15">
      <c r="A4835" s="1" t="s">
        <v>908</v>
      </c>
      <c r="B4835" s="1" t="s">
        <v>2014</v>
      </c>
      <c r="D4835" s="1" t="s">
        <v>442</v>
      </c>
      <c r="E4835" s="1" t="s">
        <v>1539</v>
      </c>
      <c r="F4835" s="3">
        <v>0</v>
      </c>
      <c r="G4835" s="8" t="s">
        <v>2773</v>
      </c>
      <c r="H4835" s="8" t="s">
        <v>5159</v>
      </c>
      <c r="I4835" s="3">
        <v>25</v>
      </c>
      <c r="J4835" s="3" t="s">
        <v>6511</v>
      </c>
      <c r="K4835" s="17" t="str">
        <f>HYPERLINK("http://ictvonline.org/taxonomyHistory.asp?taxnode_id=20175440","ICTVonline=20175440")</f>
        <v>ICTVonline=20175440</v>
      </c>
      <c r="L4835" s="3">
        <v>4834</v>
      </c>
    </row>
    <row r="4836" spans="1:12" x14ac:dyDescent="0.15">
      <c r="A4836" s="1" t="s">
        <v>908</v>
      </c>
      <c r="B4836" s="1" t="s">
        <v>2014</v>
      </c>
      <c r="D4836" s="1" t="s">
        <v>442</v>
      </c>
      <c r="E4836" s="1" t="s">
        <v>305</v>
      </c>
      <c r="F4836" s="3">
        <v>0</v>
      </c>
      <c r="G4836" s="8" t="s">
        <v>2773</v>
      </c>
      <c r="H4836" s="8" t="s">
        <v>5161</v>
      </c>
      <c r="I4836" s="3">
        <v>25</v>
      </c>
      <c r="J4836" s="3" t="s">
        <v>6503</v>
      </c>
      <c r="K4836" s="17" t="str">
        <f>HYPERLINK("http://ictvonline.org/taxonomyHistory.asp?taxnode_id=20175441","ICTVonline=20175441")</f>
        <v>ICTVonline=20175441</v>
      </c>
      <c r="L4836" s="3">
        <v>4835</v>
      </c>
    </row>
    <row r="4837" spans="1:12" x14ac:dyDescent="0.15">
      <c r="A4837" s="1" t="s">
        <v>908</v>
      </c>
      <c r="B4837" s="1" t="s">
        <v>2014</v>
      </c>
      <c r="D4837" s="1" t="s">
        <v>442</v>
      </c>
      <c r="E4837" s="1" t="s">
        <v>1541</v>
      </c>
      <c r="F4837" s="3">
        <v>0</v>
      </c>
      <c r="G4837" s="8" t="s">
        <v>2773</v>
      </c>
      <c r="H4837" s="8" t="s">
        <v>5159</v>
      </c>
      <c r="I4837" s="3">
        <v>25</v>
      </c>
      <c r="J4837" s="3" t="s">
        <v>6508</v>
      </c>
      <c r="K4837" s="17" t="str">
        <f>HYPERLINK("http://ictvonline.org/taxonomyHistory.asp?taxnode_id=20175443","ICTVonline=20175443")</f>
        <v>ICTVonline=20175443</v>
      </c>
      <c r="L4837" s="3">
        <v>4836</v>
      </c>
    </row>
    <row r="4838" spans="1:12" x14ac:dyDescent="0.15">
      <c r="A4838" s="1" t="s">
        <v>908</v>
      </c>
      <c r="B4838" s="1" t="s">
        <v>2014</v>
      </c>
      <c r="D4838" s="1" t="s">
        <v>442</v>
      </c>
      <c r="E4838" s="1" t="s">
        <v>306</v>
      </c>
      <c r="F4838" s="3">
        <v>0</v>
      </c>
      <c r="G4838" s="8" t="s">
        <v>2773</v>
      </c>
      <c r="H4838" s="8" t="s">
        <v>5161</v>
      </c>
      <c r="I4838" s="3">
        <v>25</v>
      </c>
      <c r="J4838" s="3" t="s">
        <v>6503</v>
      </c>
      <c r="K4838" s="17" t="str">
        <f>HYPERLINK("http://ictvonline.org/taxonomyHistory.asp?taxnode_id=20175444","ICTVonline=20175444")</f>
        <v>ICTVonline=20175444</v>
      </c>
      <c r="L4838" s="3">
        <v>4837</v>
      </c>
    </row>
    <row r="4839" spans="1:12" x14ac:dyDescent="0.15">
      <c r="A4839" s="1" t="s">
        <v>908</v>
      </c>
      <c r="B4839" s="1" t="s">
        <v>2014</v>
      </c>
      <c r="D4839" s="1" t="s">
        <v>442</v>
      </c>
      <c r="E4839" s="1" t="s">
        <v>1186</v>
      </c>
      <c r="F4839" s="3">
        <v>0</v>
      </c>
      <c r="G4839" s="8" t="s">
        <v>2773</v>
      </c>
      <c r="H4839" s="8" t="s">
        <v>5161</v>
      </c>
      <c r="I4839" s="3">
        <v>25</v>
      </c>
      <c r="J4839" s="3" t="s">
        <v>6503</v>
      </c>
      <c r="K4839" s="17" t="str">
        <f>HYPERLINK("http://ictvonline.org/taxonomyHistory.asp?taxnode_id=20175445","ICTVonline=20175445")</f>
        <v>ICTVonline=20175445</v>
      </c>
      <c r="L4839" s="3">
        <v>4838</v>
      </c>
    </row>
    <row r="4840" spans="1:12" x14ac:dyDescent="0.15">
      <c r="A4840" s="1" t="s">
        <v>908</v>
      </c>
      <c r="B4840" s="1" t="s">
        <v>2014</v>
      </c>
      <c r="D4840" s="1" t="s">
        <v>442</v>
      </c>
      <c r="E4840" s="1" t="s">
        <v>1716</v>
      </c>
      <c r="F4840" s="3">
        <v>0</v>
      </c>
      <c r="G4840" s="8" t="s">
        <v>2773</v>
      </c>
      <c r="H4840" s="8" t="s">
        <v>5161</v>
      </c>
      <c r="I4840" s="3">
        <v>25</v>
      </c>
      <c r="J4840" s="3" t="s">
        <v>6503</v>
      </c>
      <c r="K4840" s="17" t="str">
        <f>HYPERLINK("http://ictvonline.org/taxonomyHistory.asp?taxnode_id=20175446","ICTVonline=20175446")</f>
        <v>ICTVonline=20175446</v>
      </c>
      <c r="L4840" s="3">
        <v>4839</v>
      </c>
    </row>
    <row r="4841" spans="1:12" x14ac:dyDescent="0.15">
      <c r="A4841" s="1" t="s">
        <v>908</v>
      </c>
      <c r="B4841" s="1" t="s">
        <v>2014</v>
      </c>
      <c r="D4841" s="1" t="s">
        <v>442</v>
      </c>
      <c r="E4841" s="1" t="s">
        <v>1717</v>
      </c>
      <c r="F4841" s="3">
        <v>1</v>
      </c>
      <c r="G4841" s="8" t="s">
        <v>2773</v>
      </c>
      <c r="H4841" s="8" t="s">
        <v>5161</v>
      </c>
      <c r="I4841" s="3">
        <v>25</v>
      </c>
      <c r="J4841" s="3" t="s">
        <v>6503</v>
      </c>
      <c r="K4841" s="17" t="str">
        <f>HYPERLINK("http://ictvonline.org/taxonomyHistory.asp?taxnode_id=20175447","ICTVonline=20175447")</f>
        <v>ICTVonline=20175447</v>
      </c>
      <c r="L4841" s="3">
        <v>4840</v>
      </c>
    </row>
    <row r="4842" spans="1:12" x14ac:dyDescent="0.15">
      <c r="A4842" s="1" t="s">
        <v>908</v>
      </c>
      <c r="B4842" s="1" t="s">
        <v>2014</v>
      </c>
      <c r="D4842" s="1" t="s">
        <v>442</v>
      </c>
      <c r="E4842" s="1" t="s">
        <v>5157</v>
      </c>
      <c r="F4842" s="3">
        <v>0</v>
      </c>
      <c r="G4842" s="8" t="s">
        <v>2773</v>
      </c>
      <c r="H4842" s="8" t="s">
        <v>5159</v>
      </c>
      <c r="I4842" s="3">
        <v>31</v>
      </c>
      <c r="J4842" s="3" t="s">
        <v>6510</v>
      </c>
      <c r="K4842" s="17" t="str">
        <f>HYPERLINK("http://ictvonline.org/taxonomyHistory.asp?taxnode_id=20175448","ICTVonline=20175448")</f>
        <v>ICTVonline=20175448</v>
      </c>
      <c r="L4842" s="3">
        <v>4841</v>
      </c>
    </row>
    <row r="4843" spans="1:12" x14ac:dyDescent="0.15">
      <c r="A4843" s="1" t="s">
        <v>908</v>
      </c>
      <c r="B4843" s="1" t="s">
        <v>2014</v>
      </c>
      <c r="D4843" s="1" t="s">
        <v>442</v>
      </c>
      <c r="E4843" s="1" t="s">
        <v>1718</v>
      </c>
      <c r="F4843" s="3">
        <v>0</v>
      </c>
      <c r="G4843" s="8" t="s">
        <v>2773</v>
      </c>
      <c r="H4843" s="8" t="s">
        <v>5161</v>
      </c>
      <c r="I4843" s="3">
        <v>25</v>
      </c>
      <c r="J4843" s="3" t="s">
        <v>6503</v>
      </c>
      <c r="K4843" s="17" t="str">
        <f>HYPERLINK("http://ictvonline.org/taxonomyHistory.asp?taxnode_id=20175449","ICTVonline=20175449")</f>
        <v>ICTVonline=20175449</v>
      </c>
      <c r="L4843" s="3">
        <v>4842</v>
      </c>
    </row>
    <row r="4844" spans="1:12" x14ac:dyDescent="0.15">
      <c r="A4844" s="1" t="s">
        <v>908</v>
      </c>
      <c r="B4844" s="1" t="s">
        <v>2014</v>
      </c>
      <c r="D4844" s="1" t="s">
        <v>442</v>
      </c>
      <c r="E4844" s="1" t="s">
        <v>2766</v>
      </c>
      <c r="F4844" s="3">
        <v>0</v>
      </c>
      <c r="G4844" s="8" t="s">
        <v>2773</v>
      </c>
      <c r="H4844" s="8" t="s">
        <v>5159</v>
      </c>
      <c r="I4844" s="3">
        <v>29</v>
      </c>
      <c r="J4844" s="3" t="s">
        <v>6512</v>
      </c>
      <c r="K4844" s="17" t="str">
        <f>HYPERLINK("http://ictvonline.org/taxonomyHistory.asp?taxnode_id=20175450","ICTVonline=20175450")</f>
        <v>ICTVonline=20175450</v>
      </c>
      <c r="L4844" s="3">
        <v>4843</v>
      </c>
    </row>
    <row r="4845" spans="1:12" x14ac:dyDescent="0.15">
      <c r="A4845" s="1" t="s">
        <v>908</v>
      </c>
      <c r="B4845" s="1" t="s">
        <v>2014</v>
      </c>
      <c r="D4845" s="1" t="s">
        <v>442</v>
      </c>
      <c r="E4845" s="1" t="s">
        <v>2309</v>
      </c>
      <c r="F4845" s="3">
        <v>0</v>
      </c>
      <c r="G4845" s="8" t="s">
        <v>2773</v>
      </c>
      <c r="H4845" s="8" t="s">
        <v>5159</v>
      </c>
      <c r="I4845" s="3">
        <v>27</v>
      </c>
      <c r="J4845" s="3" t="s">
        <v>6507</v>
      </c>
      <c r="K4845" s="17" t="str">
        <f>HYPERLINK("http://ictvonline.org/taxonomyHistory.asp?taxnode_id=20175451","ICTVonline=20175451")</f>
        <v>ICTVonline=20175451</v>
      </c>
      <c r="L4845" s="3">
        <v>4844</v>
      </c>
    </row>
    <row r="4846" spans="1:12" x14ac:dyDescent="0.15">
      <c r="A4846" s="1" t="s">
        <v>908</v>
      </c>
      <c r="B4846" s="1" t="s">
        <v>2014</v>
      </c>
      <c r="D4846" s="1" t="s">
        <v>442</v>
      </c>
      <c r="E4846" s="1" t="s">
        <v>1719</v>
      </c>
      <c r="F4846" s="3">
        <v>0</v>
      </c>
      <c r="G4846" s="8" t="s">
        <v>2773</v>
      </c>
      <c r="H4846" s="8" t="s">
        <v>5161</v>
      </c>
      <c r="I4846" s="3">
        <v>25</v>
      </c>
      <c r="J4846" s="3" t="s">
        <v>6503</v>
      </c>
      <c r="K4846" s="17" t="str">
        <f>HYPERLINK("http://ictvonline.org/taxonomyHistory.asp?taxnode_id=20175452","ICTVonline=20175452")</f>
        <v>ICTVonline=20175452</v>
      </c>
      <c r="L4846" s="3">
        <v>4845</v>
      </c>
    </row>
    <row r="4847" spans="1:12" x14ac:dyDescent="0.15">
      <c r="A4847" s="1" t="s">
        <v>908</v>
      </c>
      <c r="B4847" s="1" t="s">
        <v>2014</v>
      </c>
      <c r="D4847" s="1" t="s">
        <v>442</v>
      </c>
      <c r="E4847" s="1" t="s">
        <v>1720</v>
      </c>
      <c r="F4847" s="3">
        <v>0</v>
      </c>
      <c r="G4847" s="8" t="s">
        <v>2773</v>
      </c>
      <c r="H4847" s="8" t="s">
        <v>5161</v>
      </c>
      <c r="I4847" s="3">
        <v>25</v>
      </c>
      <c r="J4847" s="3" t="s">
        <v>6503</v>
      </c>
      <c r="K4847" s="17" t="str">
        <f>HYPERLINK("http://ictvonline.org/taxonomyHistory.asp?taxnode_id=20175453","ICTVonline=20175453")</f>
        <v>ICTVonline=20175453</v>
      </c>
      <c r="L4847" s="3">
        <v>4846</v>
      </c>
    </row>
    <row r="4848" spans="1:12" x14ac:dyDescent="0.15">
      <c r="A4848" s="1" t="s">
        <v>908</v>
      </c>
      <c r="B4848" s="1" t="s">
        <v>2014</v>
      </c>
      <c r="D4848" s="1" t="s">
        <v>442</v>
      </c>
      <c r="E4848" s="1" t="s">
        <v>1721</v>
      </c>
      <c r="F4848" s="3">
        <v>0</v>
      </c>
      <c r="G4848" s="8" t="s">
        <v>2773</v>
      </c>
      <c r="H4848" s="8" t="s">
        <v>5161</v>
      </c>
      <c r="I4848" s="3">
        <v>25</v>
      </c>
      <c r="J4848" s="3" t="s">
        <v>6503</v>
      </c>
      <c r="K4848" s="17" t="str">
        <f>HYPERLINK("http://ictvonline.org/taxonomyHistory.asp?taxnode_id=20175454","ICTVonline=20175454")</f>
        <v>ICTVonline=20175454</v>
      </c>
      <c r="L4848" s="3">
        <v>4847</v>
      </c>
    </row>
    <row r="4849" spans="1:12" x14ac:dyDescent="0.15">
      <c r="A4849" s="1" t="s">
        <v>908</v>
      </c>
      <c r="B4849" s="1" t="s">
        <v>2014</v>
      </c>
      <c r="D4849" s="1" t="s">
        <v>442</v>
      </c>
      <c r="E4849" s="1" t="s">
        <v>2767</v>
      </c>
      <c r="F4849" s="3">
        <v>0</v>
      </c>
      <c r="G4849" s="8" t="s">
        <v>2773</v>
      </c>
      <c r="H4849" s="8" t="s">
        <v>5159</v>
      </c>
      <c r="I4849" s="3">
        <v>29</v>
      </c>
      <c r="J4849" s="3" t="s">
        <v>6512</v>
      </c>
      <c r="K4849" s="17" t="str">
        <f>HYPERLINK("http://ictvonline.org/taxonomyHistory.asp?taxnode_id=20175455","ICTVonline=20175455")</f>
        <v>ICTVonline=20175455</v>
      </c>
      <c r="L4849" s="3">
        <v>4848</v>
      </c>
    </row>
    <row r="4850" spans="1:12" x14ac:dyDescent="0.15">
      <c r="A4850" s="1" t="s">
        <v>908</v>
      </c>
      <c r="B4850" s="1" t="s">
        <v>2014</v>
      </c>
      <c r="D4850" s="1" t="s">
        <v>442</v>
      </c>
      <c r="E4850" s="1" t="s">
        <v>1722</v>
      </c>
      <c r="F4850" s="3">
        <v>0</v>
      </c>
      <c r="G4850" s="8" t="s">
        <v>2773</v>
      </c>
      <c r="H4850" s="8" t="s">
        <v>5161</v>
      </c>
      <c r="I4850" s="3">
        <v>25</v>
      </c>
      <c r="J4850" s="3" t="s">
        <v>6503</v>
      </c>
      <c r="K4850" s="17" t="str">
        <f>HYPERLINK("http://ictvonline.org/taxonomyHistory.asp?taxnode_id=20175456","ICTVonline=20175456")</f>
        <v>ICTVonline=20175456</v>
      </c>
      <c r="L4850" s="3">
        <v>4849</v>
      </c>
    </row>
    <row r="4851" spans="1:12" x14ac:dyDescent="0.15">
      <c r="A4851" s="1" t="s">
        <v>908</v>
      </c>
      <c r="B4851" s="1" t="s">
        <v>2014</v>
      </c>
      <c r="D4851" s="1" t="s">
        <v>442</v>
      </c>
      <c r="E4851" s="1" t="s">
        <v>1723</v>
      </c>
      <c r="F4851" s="3">
        <v>0</v>
      </c>
      <c r="G4851" s="8" t="s">
        <v>2773</v>
      </c>
      <c r="H4851" s="8" t="s">
        <v>5161</v>
      </c>
      <c r="I4851" s="3">
        <v>25</v>
      </c>
      <c r="J4851" s="3" t="s">
        <v>6503</v>
      </c>
      <c r="K4851" s="17" t="str">
        <f>HYPERLINK("http://ictvonline.org/taxonomyHistory.asp?taxnode_id=20175457","ICTVonline=20175457")</f>
        <v>ICTVonline=20175457</v>
      </c>
      <c r="L4851" s="3">
        <v>4850</v>
      </c>
    </row>
    <row r="4852" spans="1:12" x14ac:dyDescent="0.15">
      <c r="A4852" s="1" t="s">
        <v>908</v>
      </c>
      <c r="B4852" s="1" t="s">
        <v>2014</v>
      </c>
      <c r="D4852" s="1" t="s">
        <v>1724</v>
      </c>
      <c r="E4852" s="1" t="s">
        <v>1725</v>
      </c>
      <c r="F4852" s="3">
        <v>0</v>
      </c>
      <c r="G4852" s="8" t="s">
        <v>2773</v>
      </c>
      <c r="H4852" s="8" t="s">
        <v>5161</v>
      </c>
      <c r="I4852" s="3">
        <v>25</v>
      </c>
      <c r="J4852" s="3" t="s">
        <v>6503</v>
      </c>
      <c r="K4852" s="17" t="str">
        <f>HYPERLINK("http://ictvonline.org/taxonomyHistory.asp?taxnode_id=20175459","ICTVonline=20175459")</f>
        <v>ICTVonline=20175459</v>
      </c>
      <c r="L4852" s="3">
        <v>4851</v>
      </c>
    </row>
    <row r="4853" spans="1:12" x14ac:dyDescent="0.15">
      <c r="A4853" s="1" t="s">
        <v>908</v>
      </c>
      <c r="B4853" s="1" t="s">
        <v>2014</v>
      </c>
      <c r="D4853" s="1" t="s">
        <v>1724</v>
      </c>
      <c r="E4853" s="1" t="s">
        <v>1726</v>
      </c>
      <c r="F4853" s="3">
        <v>0</v>
      </c>
      <c r="G4853" s="8" t="s">
        <v>2773</v>
      </c>
      <c r="H4853" s="8" t="s">
        <v>5161</v>
      </c>
      <c r="I4853" s="3">
        <v>25</v>
      </c>
      <c r="J4853" s="3" t="s">
        <v>6503</v>
      </c>
      <c r="K4853" s="17" t="str">
        <f>HYPERLINK("http://ictvonline.org/taxonomyHistory.asp?taxnode_id=20175460","ICTVonline=20175460")</f>
        <v>ICTVonline=20175460</v>
      </c>
      <c r="L4853" s="3">
        <v>4852</v>
      </c>
    </row>
    <row r="4854" spans="1:12" x14ac:dyDescent="0.15">
      <c r="A4854" s="1" t="s">
        <v>908</v>
      </c>
      <c r="B4854" s="1" t="s">
        <v>2014</v>
      </c>
      <c r="D4854" s="1" t="s">
        <v>1724</v>
      </c>
      <c r="E4854" s="1" t="s">
        <v>1727</v>
      </c>
      <c r="F4854" s="3">
        <v>1</v>
      </c>
      <c r="G4854" s="8" t="s">
        <v>2773</v>
      </c>
      <c r="H4854" s="8" t="s">
        <v>5161</v>
      </c>
      <c r="I4854" s="3">
        <v>25</v>
      </c>
      <c r="J4854" s="3" t="s">
        <v>6503</v>
      </c>
      <c r="K4854" s="17" t="str">
        <f>HYPERLINK("http://ictvonline.org/taxonomyHistory.asp?taxnode_id=20175461","ICTVonline=20175461")</f>
        <v>ICTVonline=20175461</v>
      </c>
      <c r="L4854" s="3">
        <v>4853</v>
      </c>
    </row>
  </sheetData>
  <autoFilter ref="G1:G4854" xr:uid="{00000000-0009-0000-0000-000002000000}"/>
  <sortState ref="A2:L4854">
    <sortCondition ref="A2:A2476"/>
    <sortCondition ref="B2:B2476"/>
    <sortCondition ref="C2:C2476"/>
    <sortCondition ref="D2:D2476"/>
    <sortCondition ref="E2:E2476"/>
  </sortState>
  <phoneticPr fontId="1" type="noConversion"/>
  <conditionalFormatting sqref="F1:F1048576">
    <cfRule type="cellIs" dxfId="3" priority="14" stopIfTrue="1" operator="equal">
      <formula>1</formula>
    </cfRule>
  </conditionalFormatting>
  <conditionalFormatting sqref="A1:F2305 A2369:F1048576 A2306:D2368 F2306:F2368">
    <cfRule type="expression" dxfId="2" priority="10" stopIfTrue="1">
      <formula>A1="Unassigned"</formula>
    </cfRule>
  </conditionalFormatting>
  <conditionalFormatting sqref="A1:XFD2305 A2369:XFD1048576 A2306:D2368 F2306:XFD2368">
    <cfRule type="cellIs" dxfId="1" priority="9" stopIfTrue="1" operator="equal">
      <formula>"NULL"</formula>
    </cfRule>
  </conditionalFormatting>
  <conditionalFormatting sqref="J2:J1721 I1 J1723:J65536">
    <cfRule type="cellIs" dxfId="0" priority="8" stopIfTrue="1" operator="equal">
      <formula>29</formula>
    </cfRule>
  </conditionalFormatting>
  <printOptions gridLines="1"/>
  <pageMargins left="0.75" right="0.75" top="1" bottom="1" header="0.5" footer="0.5"/>
  <pageSetup scale="54" fitToHeight="1000"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Version</vt:lpstr>
      <vt:lpstr>Column Definitions</vt:lpstr>
      <vt:lpstr>ICTV 2017 Master Species #32</vt:lpstr>
      <vt:lpstr>'ICTV 2017 Master Species #32'!Print_Titles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Elliot Lefkowitz</cp:lastModifiedBy>
  <cp:lastPrinted>2009-10-04T23:39:18Z</cp:lastPrinted>
  <dcterms:created xsi:type="dcterms:W3CDTF">2009-08-13T19:43:48Z</dcterms:created>
  <dcterms:modified xsi:type="dcterms:W3CDTF">2018-03-16T14:40:09Z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